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s.bashtel.ru\deps\OUZ\01. ОУЗ\2016\Запрос Предложений\12 Декабрь\уборка\Закупочная Уборка\"/>
    </mc:Choice>
  </mc:AlternateContent>
  <bookViews>
    <workbookView xWindow="0" yWindow="0" windowWidth="28800" windowHeight="12045"/>
  </bookViews>
  <sheets>
    <sheet name="Уборка" sheetId="1" r:id="rId1"/>
  </sheets>
  <definedNames>
    <definedName name="_xlnm._FilterDatabase" localSheetId="0" hidden="1">Уборка!$A$6:$AZ$259</definedName>
    <definedName name="_xlnm.Print_Titles" localSheetId="0">Уборка!$8:$11</definedName>
    <definedName name="_xlnm.Print_Area" localSheetId="0">Уборка!$A$1:$AZ$273</definedName>
  </definedNames>
  <calcPr calcId="152511"/>
</workbook>
</file>

<file path=xl/calcChain.xml><?xml version="1.0" encoding="utf-8"?>
<calcChain xmlns="http://schemas.openxmlformats.org/spreadsheetml/2006/main">
  <c r="AM13" i="1" l="1"/>
  <c r="AR16" i="1"/>
  <c r="AR14" i="1"/>
  <c r="F259" i="1" l="1"/>
  <c r="I259" i="1"/>
  <c r="J259" i="1"/>
  <c r="M259" i="1"/>
  <c r="N259" i="1"/>
  <c r="R259" i="1"/>
  <c r="V259" i="1"/>
  <c r="Y259" i="1"/>
  <c r="Z259" i="1"/>
  <c r="AC259" i="1"/>
  <c r="AD259" i="1"/>
  <c r="AG259" i="1"/>
  <c r="AH259" i="1"/>
  <c r="AK259" i="1"/>
  <c r="AL259" i="1"/>
  <c r="AR259" i="1"/>
  <c r="AT259" i="1"/>
  <c r="E259" i="1"/>
  <c r="AU256" i="1"/>
  <c r="AW256" i="1"/>
  <c r="AX256" i="1"/>
  <c r="AU257" i="1"/>
  <c r="AW257" i="1" s="1"/>
  <c r="AX257" i="1"/>
  <c r="AU258" i="1"/>
  <c r="AW258" i="1"/>
  <c r="AX258" i="1"/>
  <c r="AO256" i="1"/>
  <c r="AO257" i="1"/>
  <c r="AO258" i="1"/>
  <c r="AM256" i="1"/>
  <c r="AM257" i="1"/>
  <c r="AM258" i="1"/>
  <c r="AK256" i="1"/>
  <c r="AK257" i="1"/>
  <c r="AK258" i="1"/>
  <c r="AI256" i="1"/>
  <c r="AI257" i="1"/>
  <c r="AI258" i="1"/>
  <c r="AG256" i="1"/>
  <c r="AG257" i="1"/>
  <c r="AG258" i="1"/>
  <c r="AE256" i="1"/>
  <c r="AE257" i="1"/>
  <c r="AE258" i="1"/>
  <c r="AC256" i="1"/>
  <c r="AC257" i="1"/>
  <c r="AC258" i="1"/>
  <c r="AA256" i="1"/>
  <c r="AA257" i="1"/>
  <c r="AA258" i="1"/>
  <c r="Y256" i="1"/>
  <c r="Y257" i="1"/>
  <c r="Y258" i="1"/>
  <c r="W256" i="1"/>
  <c r="W257" i="1"/>
  <c r="W258" i="1"/>
  <c r="U256" i="1"/>
  <c r="AQ256" i="1" s="1"/>
  <c r="U257" i="1"/>
  <c r="AQ257" i="1" s="1"/>
  <c r="AP257" i="1" s="1"/>
  <c r="U258" i="1"/>
  <c r="AQ258" i="1" s="1"/>
  <c r="S256" i="1"/>
  <c r="S257" i="1"/>
  <c r="S258" i="1"/>
  <c r="Q256" i="1"/>
  <c r="Q257" i="1"/>
  <c r="Q258" i="1"/>
  <c r="O256" i="1"/>
  <c r="O257" i="1"/>
  <c r="O258" i="1"/>
  <c r="M257" i="1"/>
  <c r="M258" i="1"/>
  <c r="K257" i="1"/>
  <c r="K258" i="1"/>
  <c r="K256" i="1"/>
  <c r="M256" i="1"/>
  <c r="I256" i="1"/>
  <c r="I257" i="1"/>
  <c r="I258" i="1"/>
  <c r="G256" i="1"/>
  <c r="G257" i="1"/>
  <c r="G258" i="1"/>
  <c r="E256" i="1"/>
  <c r="E257" i="1"/>
  <c r="E258" i="1"/>
  <c r="AP258" i="1" l="1"/>
  <c r="AY258" i="1" s="1"/>
  <c r="AZ258" i="1"/>
  <c r="AZ256" i="1"/>
  <c r="AP256" i="1"/>
  <c r="AY256" i="1" s="1"/>
  <c r="AZ257" i="1"/>
  <c r="AY257" i="1"/>
  <c r="A256" i="1"/>
  <c r="A257" i="1"/>
  <c r="A258" i="1" s="1"/>
  <c r="Z19" i="1" l="1"/>
  <c r="J19" i="1"/>
  <c r="Z47" i="1"/>
  <c r="E47" i="1" s="1"/>
  <c r="E45" i="1"/>
  <c r="E46" i="1"/>
  <c r="AC255" i="1"/>
  <c r="K13" i="1"/>
  <c r="AX45" i="1"/>
  <c r="AU45" i="1"/>
  <c r="AW45" i="1" s="1"/>
  <c r="AO45" i="1"/>
  <c r="AM45" i="1"/>
  <c r="AK45" i="1"/>
  <c r="AI45" i="1"/>
  <c r="AE45" i="1"/>
  <c r="AG45" i="1"/>
  <c r="AA45" i="1"/>
  <c r="Z45" i="1"/>
  <c r="AC45" i="1" s="1"/>
  <c r="Y45" i="1"/>
  <c r="W45" i="1"/>
  <c r="U45" i="1"/>
  <c r="S45" i="1"/>
  <c r="Q45" i="1"/>
  <c r="O45" i="1"/>
  <c r="K45" i="1"/>
  <c r="J45" i="1"/>
  <c r="M45" i="1" s="1"/>
  <c r="I45" i="1"/>
  <c r="G45" i="1"/>
  <c r="AQ45" i="1" l="1"/>
  <c r="AZ45" i="1" s="1"/>
  <c r="AP45" i="1" l="1"/>
  <c r="AY45" i="1" s="1"/>
  <c r="E18" i="1"/>
  <c r="W15" i="1" l="1"/>
  <c r="W14" i="1"/>
  <c r="AU63" i="1"/>
  <c r="AW63" i="1" s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220" i="1"/>
  <c r="AX46" i="1"/>
  <c r="AX47" i="1"/>
  <c r="AX50" i="1"/>
  <c r="AX51" i="1"/>
  <c r="AX52" i="1"/>
  <c r="AX53" i="1"/>
  <c r="AX54" i="1"/>
  <c r="AX55" i="1"/>
  <c r="AX56" i="1"/>
  <c r="AX57" i="1"/>
  <c r="AX58" i="1"/>
  <c r="AX59" i="1"/>
  <c r="AX61" i="1"/>
  <c r="AX63" i="1"/>
  <c r="AX64" i="1"/>
  <c r="AX66" i="1"/>
  <c r="AX67" i="1"/>
  <c r="AX68" i="1"/>
  <c r="AX72" i="1"/>
  <c r="AX73" i="1"/>
  <c r="AX74" i="1"/>
  <c r="AX75" i="1"/>
  <c r="AX76" i="1"/>
  <c r="AX77" i="1"/>
  <c r="AX78" i="1"/>
  <c r="AX79" i="1"/>
  <c r="AX87" i="1"/>
  <c r="AX88" i="1"/>
  <c r="AX89" i="1"/>
  <c r="AX90" i="1"/>
  <c r="AX91" i="1"/>
  <c r="AX92" i="1"/>
  <c r="AX93" i="1"/>
  <c r="AX94" i="1"/>
  <c r="AX95" i="1"/>
  <c r="AX96" i="1"/>
  <c r="AX97" i="1"/>
  <c r="AX100" i="1"/>
  <c r="AX101" i="1"/>
  <c r="AX102" i="1"/>
  <c r="AX103" i="1"/>
  <c r="AX104" i="1"/>
  <c r="AX112" i="1"/>
  <c r="AX113" i="1"/>
  <c r="AX115" i="1"/>
  <c r="AX116" i="1"/>
  <c r="AX117" i="1"/>
  <c r="AX120" i="1"/>
  <c r="AX121" i="1"/>
  <c r="AX122" i="1"/>
  <c r="AX126" i="1"/>
  <c r="AX128" i="1"/>
  <c r="AX129" i="1"/>
  <c r="AX130" i="1"/>
  <c r="AX132" i="1"/>
  <c r="AX133" i="1"/>
  <c r="AX134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7" i="1"/>
  <c r="AX168" i="1"/>
  <c r="AX169" i="1"/>
  <c r="AX170" i="1"/>
  <c r="AX174" i="1"/>
  <c r="AX177" i="1"/>
  <c r="AX178" i="1"/>
  <c r="AX179" i="1"/>
  <c r="AX180" i="1"/>
  <c r="AX181" i="1"/>
  <c r="AX182" i="1"/>
  <c r="AX183" i="1"/>
  <c r="AX184" i="1"/>
  <c r="AX185" i="1"/>
  <c r="AX187" i="1"/>
  <c r="AX189" i="1"/>
  <c r="AX193" i="1"/>
  <c r="AX194" i="1"/>
  <c r="AX195" i="1"/>
  <c r="AX196" i="1"/>
  <c r="AX197" i="1"/>
  <c r="AX199" i="1"/>
  <c r="AX200" i="1"/>
  <c r="AX201" i="1"/>
  <c r="AX203" i="1"/>
  <c r="AX204" i="1"/>
  <c r="AX205" i="1"/>
  <c r="AX206" i="1"/>
  <c r="AX208" i="1"/>
  <c r="AX209" i="1"/>
  <c r="AX210" i="1"/>
  <c r="AX212" i="1"/>
  <c r="AX213" i="1"/>
  <c r="AX214" i="1"/>
  <c r="AX216" i="1"/>
  <c r="AX217" i="1"/>
  <c r="AX218" i="1"/>
  <c r="AX219" i="1"/>
  <c r="AX221" i="1"/>
  <c r="AX222" i="1"/>
  <c r="AX223" i="1"/>
  <c r="AX224" i="1"/>
  <c r="AX225" i="1"/>
  <c r="AX226" i="1"/>
  <c r="AX227" i="1"/>
  <c r="AX228" i="1"/>
  <c r="AX229" i="1"/>
  <c r="AX230" i="1"/>
  <c r="AX232" i="1"/>
  <c r="AX233" i="1"/>
  <c r="AX234" i="1"/>
  <c r="AX235" i="1"/>
  <c r="AX236" i="1"/>
  <c r="AX237" i="1"/>
  <c r="AX238" i="1"/>
  <c r="AX239" i="1"/>
  <c r="AX240" i="1"/>
  <c r="AX241" i="1"/>
  <c r="AX242" i="1"/>
  <c r="AX243" i="1"/>
  <c r="AX244" i="1"/>
  <c r="AX245" i="1"/>
  <c r="AX246" i="1"/>
  <c r="AX247" i="1"/>
  <c r="AX248" i="1"/>
  <c r="AX249" i="1"/>
  <c r="AX250" i="1"/>
  <c r="AX251" i="1"/>
  <c r="AX252" i="1"/>
  <c r="AX253" i="1"/>
  <c r="AX254" i="1"/>
  <c r="AX255" i="1"/>
  <c r="AU233" i="1"/>
  <c r="AW233" i="1" s="1"/>
  <c r="AU234" i="1"/>
  <c r="AW234" i="1" s="1"/>
  <c r="AU235" i="1"/>
  <c r="AW235" i="1" s="1"/>
  <c r="AU236" i="1"/>
  <c r="AW236" i="1" s="1"/>
  <c r="AU237" i="1"/>
  <c r="AW237" i="1" s="1"/>
  <c r="AU238" i="1"/>
  <c r="AW238" i="1" s="1"/>
  <c r="AU239" i="1"/>
  <c r="AW239" i="1" s="1"/>
  <c r="AU240" i="1"/>
  <c r="AW240" i="1" s="1"/>
  <c r="AU241" i="1"/>
  <c r="AW241" i="1" s="1"/>
  <c r="AU242" i="1"/>
  <c r="AW242" i="1" s="1"/>
  <c r="AU243" i="1"/>
  <c r="AW243" i="1" s="1"/>
  <c r="AU244" i="1"/>
  <c r="AW244" i="1" s="1"/>
  <c r="AU245" i="1"/>
  <c r="AW245" i="1" s="1"/>
  <c r="AU246" i="1"/>
  <c r="AW246" i="1" s="1"/>
  <c r="AU247" i="1"/>
  <c r="AW247" i="1" s="1"/>
  <c r="AU248" i="1"/>
  <c r="AW248" i="1" s="1"/>
  <c r="AU249" i="1"/>
  <c r="AW249" i="1" s="1"/>
  <c r="AU250" i="1"/>
  <c r="AW250" i="1" s="1"/>
  <c r="AU251" i="1"/>
  <c r="AW251" i="1" s="1"/>
  <c r="AU252" i="1"/>
  <c r="AW252" i="1" s="1"/>
  <c r="AU253" i="1"/>
  <c r="AW253" i="1" s="1"/>
  <c r="AU254" i="1"/>
  <c r="AW254" i="1" s="1"/>
  <c r="AU255" i="1"/>
  <c r="AW255" i="1" s="1"/>
  <c r="AU217" i="1"/>
  <c r="AW217" i="1" s="1"/>
  <c r="AU218" i="1"/>
  <c r="AW218" i="1" s="1"/>
  <c r="AU219" i="1"/>
  <c r="AW219" i="1" s="1"/>
  <c r="AU221" i="1"/>
  <c r="AW221" i="1" s="1"/>
  <c r="AU222" i="1"/>
  <c r="AW222" i="1" s="1"/>
  <c r="AU223" i="1"/>
  <c r="AW223" i="1" s="1"/>
  <c r="AU224" i="1"/>
  <c r="AW224" i="1" s="1"/>
  <c r="AU225" i="1"/>
  <c r="AW225" i="1" s="1"/>
  <c r="AU226" i="1"/>
  <c r="AW226" i="1" s="1"/>
  <c r="AU227" i="1"/>
  <c r="AW227" i="1" s="1"/>
  <c r="AU228" i="1"/>
  <c r="AW228" i="1" s="1"/>
  <c r="AU229" i="1"/>
  <c r="AW229" i="1" s="1"/>
  <c r="AU230" i="1"/>
  <c r="AW230" i="1" s="1"/>
  <c r="AU213" i="1"/>
  <c r="AW213" i="1" s="1"/>
  <c r="AU214" i="1"/>
  <c r="AW214" i="1" s="1"/>
  <c r="AU209" i="1"/>
  <c r="AW209" i="1" s="1"/>
  <c r="AU210" i="1"/>
  <c r="AW210" i="1" s="1"/>
  <c r="AU204" i="1"/>
  <c r="AW204" i="1" s="1"/>
  <c r="AU205" i="1"/>
  <c r="AW205" i="1" s="1"/>
  <c r="AU206" i="1"/>
  <c r="AW206" i="1" s="1"/>
  <c r="AU200" i="1"/>
  <c r="AW200" i="1" s="1"/>
  <c r="AU201" i="1"/>
  <c r="AW201" i="1" s="1"/>
  <c r="AU193" i="1"/>
  <c r="AW193" i="1" s="1"/>
  <c r="AU194" i="1"/>
  <c r="AW194" i="1" s="1"/>
  <c r="AU195" i="1"/>
  <c r="AW195" i="1" s="1"/>
  <c r="AU196" i="1"/>
  <c r="AW196" i="1" s="1"/>
  <c r="AU197" i="1"/>
  <c r="AW197" i="1" s="1"/>
  <c r="AU178" i="1"/>
  <c r="AW178" i="1" s="1"/>
  <c r="AU179" i="1"/>
  <c r="AW179" i="1" s="1"/>
  <c r="AU180" i="1"/>
  <c r="AW180" i="1" s="1"/>
  <c r="AU181" i="1"/>
  <c r="AW181" i="1" s="1"/>
  <c r="AU182" i="1"/>
  <c r="AW182" i="1" s="1"/>
  <c r="AU183" i="1"/>
  <c r="AW183" i="1" s="1"/>
  <c r="AU184" i="1"/>
  <c r="AW184" i="1" s="1"/>
  <c r="AU185" i="1"/>
  <c r="AW185" i="1" s="1"/>
  <c r="AU174" i="1"/>
  <c r="AW174" i="1" s="1"/>
  <c r="AU175" i="1"/>
  <c r="AU167" i="1"/>
  <c r="AW167" i="1" s="1"/>
  <c r="AU168" i="1"/>
  <c r="AW168" i="1" s="1"/>
  <c r="AU169" i="1"/>
  <c r="AW169" i="1" s="1"/>
  <c r="AU170" i="1"/>
  <c r="AW170" i="1" s="1"/>
  <c r="AU171" i="1"/>
  <c r="AU137" i="1"/>
  <c r="AW137" i="1" s="1"/>
  <c r="AU138" i="1"/>
  <c r="AW138" i="1" s="1"/>
  <c r="AU139" i="1"/>
  <c r="AW139" i="1" s="1"/>
  <c r="AU140" i="1"/>
  <c r="AW140" i="1" s="1"/>
  <c r="AU141" i="1"/>
  <c r="AW141" i="1" s="1"/>
  <c r="AU142" i="1"/>
  <c r="AW142" i="1" s="1"/>
  <c r="AU143" i="1"/>
  <c r="AW143" i="1" s="1"/>
  <c r="AU144" i="1"/>
  <c r="AW144" i="1" s="1"/>
  <c r="AU145" i="1"/>
  <c r="AW145" i="1" s="1"/>
  <c r="AU146" i="1"/>
  <c r="AW146" i="1" s="1"/>
  <c r="AU147" i="1"/>
  <c r="AW147" i="1" s="1"/>
  <c r="AU148" i="1"/>
  <c r="AW148" i="1" s="1"/>
  <c r="AU149" i="1"/>
  <c r="AW149" i="1" s="1"/>
  <c r="AU150" i="1"/>
  <c r="AW150" i="1" s="1"/>
  <c r="AU151" i="1"/>
  <c r="AW151" i="1" s="1"/>
  <c r="AU152" i="1"/>
  <c r="AW152" i="1" s="1"/>
  <c r="AU153" i="1"/>
  <c r="AW153" i="1" s="1"/>
  <c r="AU154" i="1"/>
  <c r="AW154" i="1" s="1"/>
  <c r="AU155" i="1"/>
  <c r="AW155" i="1" s="1"/>
  <c r="AU156" i="1"/>
  <c r="AW156" i="1" s="1"/>
  <c r="AU157" i="1"/>
  <c r="AW157" i="1" s="1"/>
  <c r="AU158" i="1"/>
  <c r="AW158" i="1" s="1"/>
  <c r="AU159" i="1"/>
  <c r="AW159" i="1" s="1"/>
  <c r="AU160" i="1"/>
  <c r="AW160" i="1" s="1"/>
  <c r="AU161" i="1"/>
  <c r="AW161" i="1" s="1"/>
  <c r="AU162" i="1"/>
  <c r="AW162" i="1" s="1"/>
  <c r="AU163" i="1"/>
  <c r="AW163" i="1" s="1"/>
  <c r="AU133" i="1"/>
  <c r="AW133" i="1" s="1"/>
  <c r="AU134" i="1"/>
  <c r="AW134" i="1" s="1"/>
  <c r="AU129" i="1"/>
  <c r="AW129" i="1" s="1"/>
  <c r="AU130" i="1"/>
  <c r="AW130" i="1" s="1"/>
  <c r="AU121" i="1"/>
  <c r="AW121" i="1" s="1"/>
  <c r="AU122" i="1"/>
  <c r="AW122" i="1" s="1"/>
  <c r="AU123" i="1"/>
  <c r="AU124" i="1"/>
  <c r="AU125" i="1"/>
  <c r="AU126" i="1"/>
  <c r="AW126" i="1" s="1"/>
  <c r="AU111" i="1"/>
  <c r="AU112" i="1"/>
  <c r="AW112" i="1" s="1"/>
  <c r="AU113" i="1"/>
  <c r="AW113" i="1" s="1"/>
  <c r="AU114" i="1"/>
  <c r="AU115" i="1"/>
  <c r="AW115" i="1" s="1"/>
  <c r="AU116" i="1"/>
  <c r="AW116" i="1" s="1"/>
  <c r="AU117" i="1"/>
  <c r="AW117" i="1" s="1"/>
  <c r="AU108" i="1"/>
  <c r="AU101" i="1"/>
  <c r="AW101" i="1" s="1"/>
  <c r="AU102" i="1"/>
  <c r="AW102" i="1" s="1"/>
  <c r="AU103" i="1"/>
  <c r="AW103" i="1" s="1"/>
  <c r="AU104" i="1"/>
  <c r="AW104" i="1" s="1"/>
  <c r="AU82" i="1"/>
  <c r="AU83" i="1"/>
  <c r="AU84" i="1"/>
  <c r="AU85" i="1"/>
  <c r="AU86" i="1"/>
  <c r="AU87" i="1"/>
  <c r="AW87" i="1" s="1"/>
  <c r="AU88" i="1"/>
  <c r="AW88" i="1" s="1"/>
  <c r="AU89" i="1"/>
  <c r="AW89" i="1" s="1"/>
  <c r="AU90" i="1"/>
  <c r="AW90" i="1" s="1"/>
  <c r="AU91" i="1"/>
  <c r="AW91" i="1" s="1"/>
  <c r="AU92" i="1"/>
  <c r="AW92" i="1" s="1"/>
  <c r="AU93" i="1"/>
  <c r="AW93" i="1" s="1"/>
  <c r="AU94" i="1"/>
  <c r="AW94" i="1" s="1"/>
  <c r="AU95" i="1"/>
  <c r="AW95" i="1" s="1"/>
  <c r="AU96" i="1"/>
  <c r="AW96" i="1" s="1"/>
  <c r="AU97" i="1"/>
  <c r="AW97" i="1" s="1"/>
  <c r="AU98" i="1"/>
  <c r="AU72" i="1"/>
  <c r="AW72" i="1" s="1"/>
  <c r="AU73" i="1"/>
  <c r="AW73" i="1" s="1"/>
  <c r="AU74" i="1"/>
  <c r="AW74" i="1" s="1"/>
  <c r="AU75" i="1"/>
  <c r="AW75" i="1" s="1"/>
  <c r="AU76" i="1"/>
  <c r="AW76" i="1" s="1"/>
  <c r="AU77" i="1"/>
  <c r="AW77" i="1" s="1"/>
  <c r="AU78" i="1"/>
  <c r="AW78" i="1" s="1"/>
  <c r="AU79" i="1"/>
  <c r="AW79" i="1" s="1"/>
  <c r="AU62" i="1"/>
  <c r="AU64" i="1"/>
  <c r="AW64" i="1" s="1"/>
  <c r="AU65" i="1"/>
  <c r="AU66" i="1"/>
  <c r="AW66" i="1" s="1"/>
  <c r="AU67" i="1"/>
  <c r="AW67" i="1" s="1"/>
  <c r="AU68" i="1"/>
  <c r="AW68" i="1" s="1"/>
  <c r="AU50" i="1"/>
  <c r="AW50" i="1" s="1"/>
  <c r="AU51" i="1"/>
  <c r="AW51" i="1" s="1"/>
  <c r="AU52" i="1"/>
  <c r="AW52" i="1" s="1"/>
  <c r="AU53" i="1"/>
  <c r="AW53" i="1" s="1"/>
  <c r="AU54" i="1"/>
  <c r="AW54" i="1" s="1"/>
  <c r="AU55" i="1"/>
  <c r="AW55" i="1" s="1"/>
  <c r="AU56" i="1"/>
  <c r="AW56" i="1" s="1"/>
  <c r="AU57" i="1"/>
  <c r="AW57" i="1" s="1"/>
  <c r="AU58" i="1"/>
  <c r="AW58" i="1" s="1"/>
  <c r="AU59" i="1"/>
  <c r="AW59" i="1" s="1"/>
  <c r="AU14" i="1"/>
  <c r="AW14" i="1" s="1"/>
  <c r="AU15" i="1"/>
  <c r="AW15" i="1" s="1"/>
  <c r="AU16" i="1"/>
  <c r="AW16" i="1" s="1"/>
  <c r="AU17" i="1"/>
  <c r="AW17" i="1" s="1"/>
  <c r="AU18" i="1"/>
  <c r="AW18" i="1" s="1"/>
  <c r="AU19" i="1"/>
  <c r="AW19" i="1" s="1"/>
  <c r="AU20" i="1"/>
  <c r="AW20" i="1" s="1"/>
  <c r="AU21" i="1"/>
  <c r="AW21" i="1" s="1"/>
  <c r="AU22" i="1"/>
  <c r="AW22" i="1" s="1"/>
  <c r="AU23" i="1"/>
  <c r="AW23" i="1" s="1"/>
  <c r="AU24" i="1"/>
  <c r="AW24" i="1" s="1"/>
  <c r="AU25" i="1"/>
  <c r="AW25" i="1" s="1"/>
  <c r="AU26" i="1"/>
  <c r="AW26" i="1" s="1"/>
  <c r="AU27" i="1"/>
  <c r="AW27" i="1" s="1"/>
  <c r="AU28" i="1"/>
  <c r="AW28" i="1" s="1"/>
  <c r="AU29" i="1"/>
  <c r="AW29" i="1" s="1"/>
  <c r="AU31" i="1"/>
  <c r="AW31" i="1" s="1"/>
  <c r="AU32" i="1"/>
  <c r="AW32" i="1" s="1"/>
  <c r="AU33" i="1"/>
  <c r="AW33" i="1" s="1"/>
  <c r="AU34" i="1"/>
  <c r="AW34" i="1" s="1"/>
  <c r="AU35" i="1"/>
  <c r="AW35" i="1" s="1"/>
  <c r="AU36" i="1"/>
  <c r="AW36" i="1" s="1"/>
  <c r="AU37" i="1"/>
  <c r="AW37" i="1" s="1"/>
  <c r="AU38" i="1"/>
  <c r="AW38" i="1" s="1"/>
  <c r="AU39" i="1"/>
  <c r="AW39" i="1" s="1"/>
  <c r="AU40" i="1"/>
  <c r="AW40" i="1" s="1"/>
  <c r="AU41" i="1"/>
  <c r="AW41" i="1" s="1"/>
  <c r="AU42" i="1"/>
  <c r="AW42" i="1" s="1"/>
  <c r="AU43" i="1"/>
  <c r="AW43" i="1" s="1"/>
  <c r="AU44" i="1"/>
  <c r="AW44" i="1" s="1"/>
  <c r="AU220" i="1"/>
  <c r="AW220" i="1" s="1"/>
  <c r="AU46" i="1"/>
  <c r="AW46" i="1" s="1"/>
  <c r="AU47" i="1"/>
  <c r="AW47" i="1" s="1"/>
  <c r="E16" i="1"/>
  <c r="E26" i="1"/>
  <c r="E27" i="1"/>
  <c r="E29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220" i="1"/>
  <c r="E51" i="1"/>
  <c r="E58" i="1"/>
  <c r="E73" i="1"/>
  <c r="E74" i="1"/>
  <c r="E75" i="1"/>
  <c r="E78" i="1"/>
  <c r="E79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102" i="1"/>
  <c r="E115" i="1"/>
  <c r="E116" i="1"/>
  <c r="E117" i="1"/>
  <c r="E122" i="1"/>
  <c r="E123" i="1"/>
  <c r="E125" i="1"/>
  <c r="E126" i="1"/>
  <c r="E134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7" i="1"/>
  <c r="E170" i="1"/>
  <c r="E173" i="1"/>
  <c r="E177" i="1"/>
  <c r="E179" i="1"/>
  <c r="E181" i="1"/>
  <c r="E182" i="1"/>
  <c r="E203" i="1"/>
  <c r="E209" i="1"/>
  <c r="E210" i="1"/>
  <c r="E213" i="1"/>
  <c r="E214" i="1"/>
  <c r="E218" i="1"/>
  <c r="E219" i="1"/>
  <c r="E221" i="1"/>
  <c r="E224" i="1"/>
  <c r="E232" i="1"/>
  <c r="E233" i="1"/>
  <c r="E234" i="1"/>
  <c r="E235" i="1"/>
  <c r="E236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5" i="1"/>
  <c r="Z217" i="1"/>
  <c r="AU216" i="1"/>
  <c r="AW216" i="1" s="1"/>
  <c r="AO217" i="1"/>
  <c r="AO218" i="1"/>
  <c r="AO219" i="1"/>
  <c r="AM216" i="1"/>
  <c r="AM217" i="1"/>
  <c r="AM218" i="1"/>
  <c r="AM219" i="1"/>
  <c r="AL216" i="1"/>
  <c r="AO216" i="1" s="1"/>
  <c r="AK216" i="1"/>
  <c r="AK217" i="1"/>
  <c r="AK218" i="1"/>
  <c r="AK219" i="1"/>
  <c r="AI216" i="1"/>
  <c r="AI217" i="1"/>
  <c r="AI218" i="1"/>
  <c r="AI219" i="1"/>
  <c r="AG216" i="1"/>
  <c r="AG217" i="1"/>
  <c r="AG218" i="1"/>
  <c r="AG219" i="1"/>
  <c r="AX259" i="1" l="1"/>
  <c r="AW259" i="1"/>
  <c r="AE216" i="1"/>
  <c r="AE217" i="1"/>
  <c r="AE218" i="1"/>
  <c r="AE219" i="1"/>
  <c r="AC217" i="1"/>
  <c r="AC218" i="1"/>
  <c r="AC219" i="1"/>
  <c r="AA216" i="1"/>
  <c r="AA217" i="1"/>
  <c r="AA218" i="1"/>
  <c r="AA219" i="1"/>
  <c r="Z216" i="1"/>
  <c r="AC216" i="1" s="1"/>
  <c r="Y216" i="1"/>
  <c r="Y217" i="1"/>
  <c r="Y218" i="1"/>
  <c r="Y219" i="1"/>
  <c r="W216" i="1"/>
  <c r="W217" i="1"/>
  <c r="W218" i="1"/>
  <c r="W219" i="1"/>
  <c r="U216" i="1"/>
  <c r="U217" i="1"/>
  <c r="U218" i="1"/>
  <c r="U219" i="1"/>
  <c r="S216" i="1"/>
  <c r="S217" i="1"/>
  <c r="S218" i="1"/>
  <c r="S219" i="1"/>
  <c r="Q216" i="1"/>
  <c r="Q218" i="1"/>
  <c r="Q219" i="1"/>
  <c r="O216" i="1"/>
  <c r="O217" i="1"/>
  <c r="O218" i="1"/>
  <c r="O219" i="1"/>
  <c r="N217" i="1"/>
  <c r="Q217" i="1" s="1"/>
  <c r="M218" i="1"/>
  <c r="M219" i="1"/>
  <c r="K216" i="1"/>
  <c r="K217" i="1"/>
  <c r="K218" i="1"/>
  <c r="K219" i="1"/>
  <c r="J217" i="1"/>
  <c r="J216" i="1"/>
  <c r="M216" i="1" s="1"/>
  <c r="I216" i="1"/>
  <c r="I217" i="1"/>
  <c r="I218" i="1"/>
  <c r="I219" i="1"/>
  <c r="G216" i="1"/>
  <c r="G217" i="1"/>
  <c r="G218" i="1"/>
  <c r="G219" i="1"/>
  <c r="E217" i="1" l="1"/>
  <c r="E216" i="1"/>
  <c r="AQ219" i="1"/>
  <c r="AZ219" i="1" s="1"/>
  <c r="M217" i="1"/>
  <c r="AQ217" i="1" s="1"/>
  <c r="AP217" i="1" s="1"/>
  <c r="AY217" i="1" s="1"/>
  <c r="AQ216" i="1"/>
  <c r="AZ216" i="1" s="1"/>
  <c r="AQ218" i="1"/>
  <c r="AZ218" i="1" s="1"/>
  <c r="AP219" i="1"/>
  <c r="AY219" i="1" s="1"/>
  <c r="N228" i="1"/>
  <c r="N227" i="1"/>
  <c r="AP218" i="1" l="1"/>
  <c r="AY218" i="1" s="1"/>
  <c r="AZ217" i="1"/>
  <c r="AP216" i="1"/>
  <c r="AY216" i="1" s="1"/>
  <c r="N222" i="1"/>
  <c r="N225" i="1"/>
  <c r="E225" i="1" s="1"/>
  <c r="AL28" i="1" l="1"/>
  <c r="J25" i="1"/>
  <c r="E25" i="1" s="1"/>
  <c r="G43" i="1"/>
  <c r="I43" i="1"/>
  <c r="K43" i="1"/>
  <c r="M43" i="1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 l="1"/>
  <c r="AP43" i="1" s="1"/>
  <c r="AY43" i="1" s="1"/>
  <c r="G15" i="1"/>
  <c r="I15" i="1"/>
  <c r="J15" i="1"/>
  <c r="K15" i="1"/>
  <c r="M15" i="1"/>
  <c r="O15" i="1"/>
  <c r="Q15" i="1"/>
  <c r="S15" i="1"/>
  <c r="U15" i="1"/>
  <c r="Y15" i="1"/>
  <c r="Z15" i="1"/>
  <c r="AA15" i="1"/>
  <c r="AC15" i="1"/>
  <c r="AE15" i="1"/>
  <c r="AG15" i="1"/>
  <c r="AH15" i="1"/>
  <c r="AK15" i="1" s="1"/>
  <c r="AI15" i="1"/>
  <c r="AL15" i="1"/>
  <c r="AM15" i="1"/>
  <c r="AO15" i="1"/>
  <c r="AZ43" i="1" l="1"/>
  <c r="E15" i="1"/>
  <c r="AQ15" i="1"/>
  <c r="A28" i="1"/>
  <c r="A29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M78" i="1"/>
  <c r="AO78" i="1"/>
  <c r="AM79" i="1"/>
  <c r="AO79" i="1"/>
  <c r="AI78" i="1"/>
  <c r="AK78" i="1"/>
  <c r="AI79" i="1"/>
  <c r="AK79" i="1"/>
  <c r="AE78" i="1"/>
  <c r="AG78" i="1"/>
  <c r="AE79" i="1"/>
  <c r="AG79" i="1"/>
  <c r="AA78" i="1"/>
  <c r="AC78" i="1"/>
  <c r="AA79" i="1"/>
  <c r="AC79" i="1"/>
  <c r="W78" i="1"/>
  <c r="Y78" i="1"/>
  <c r="Y79" i="1"/>
  <c r="S78" i="1"/>
  <c r="U78" i="1"/>
  <c r="S79" i="1"/>
  <c r="U79" i="1"/>
  <c r="O78" i="1"/>
  <c r="Q78" i="1"/>
  <c r="O79" i="1"/>
  <c r="Q79" i="1"/>
  <c r="AZ15" i="1" l="1"/>
  <c r="AP15" i="1"/>
  <c r="AY15" i="1" s="1"/>
  <c r="A43" i="1"/>
  <c r="A44" i="1" s="1"/>
  <c r="A45" i="1" s="1"/>
  <c r="A46" i="1" s="1"/>
  <c r="A47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1" i="1" s="1"/>
  <c r="Z62" i="1"/>
  <c r="R62" i="1"/>
  <c r="N62" i="1"/>
  <c r="J62" i="1"/>
  <c r="AO63" i="1"/>
  <c r="AM63" i="1"/>
  <c r="AK63" i="1"/>
  <c r="AI63" i="1"/>
  <c r="AG63" i="1"/>
  <c r="AE63" i="1"/>
  <c r="AA63" i="1"/>
  <c r="Z63" i="1"/>
  <c r="AC63" i="1" s="1"/>
  <c r="Y63" i="1"/>
  <c r="W63" i="1"/>
  <c r="U63" i="1"/>
  <c r="S63" i="1"/>
  <c r="O63" i="1"/>
  <c r="N63" i="1"/>
  <c r="Q63" i="1" s="1"/>
  <c r="K63" i="1"/>
  <c r="J63" i="1"/>
  <c r="I63" i="1"/>
  <c r="G63" i="1"/>
  <c r="M63" i="1" l="1"/>
  <c r="E63" i="1"/>
  <c r="AQ63" i="1"/>
  <c r="AP63" i="1" s="1"/>
  <c r="AY63" i="1" s="1"/>
  <c r="A62" i="1"/>
  <c r="A63" i="1"/>
  <c r="A65" i="1" s="1"/>
  <c r="AZ63" i="1" l="1"/>
  <c r="A64" i="1"/>
  <c r="A66" i="1"/>
  <c r="A67" i="1"/>
  <c r="A68" i="1" s="1"/>
  <c r="A71" i="1" s="1"/>
  <c r="A72" i="1" s="1"/>
  <c r="A73" i="1" s="1"/>
  <c r="A74" i="1" s="1"/>
  <c r="A75" i="1" s="1"/>
  <c r="A76" i="1" s="1"/>
  <c r="A77" i="1" s="1"/>
  <c r="A78" i="1" s="1"/>
  <c r="A79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100" i="1" s="1"/>
  <c r="A101" i="1" s="1"/>
  <c r="A102" i="1" s="1"/>
  <c r="A103" i="1" s="1"/>
  <c r="A104" i="1" s="1"/>
  <c r="A107" i="1" s="1"/>
  <c r="A108" i="1" s="1"/>
  <c r="A110" i="1" s="1"/>
  <c r="A111" i="1" s="1"/>
  <c r="A112" i="1" s="1"/>
  <c r="A113" i="1" s="1"/>
  <c r="A114" i="1" s="1"/>
  <c r="A115" i="1" s="1"/>
  <c r="A116" i="1" s="1"/>
  <c r="A117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2" i="1" s="1"/>
  <c r="A133" i="1" s="1"/>
  <c r="A134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6" i="1" s="1"/>
  <c r="A167" i="1" s="1"/>
  <c r="A168" i="1" s="1"/>
  <c r="A169" i="1" s="1"/>
  <c r="A170" i="1" s="1"/>
  <c r="A171" i="1" s="1"/>
  <c r="A173" i="1" s="1"/>
  <c r="A174" i="1" s="1"/>
  <c r="A175" i="1" s="1"/>
  <c r="A177" i="1" s="1"/>
  <c r="A178" i="1" s="1"/>
  <c r="A179" i="1" s="1"/>
  <c r="A180" i="1" s="1"/>
  <c r="A181" i="1" s="1"/>
  <c r="A182" i="1" s="1"/>
  <c r="A183" i="1" s="1"/>
  <c r="A184" i="1" s="1"/>
  <c r="A185" i="1" s="1"/>
  <c r="A187" i="1" s="1"/>
  <c r="A189" i="1" s="1"/>
  <c r="A190" i="1" s="1"/>
  <c r="A192" i="1" s="1"/>
  <c r="A193" i="1" s="1"/>
  <c r="A194" i="1" s="1"/>
  <c r="A195" i="1" s="1"/>
  <c r="A196" i="1" s="1"/>
  <c r="A197" i="1" s="1"/>
  <c r="A199" i="1" s="1"/>
  <c r="A200" i="1" s="1"/>
  <c r="A201" i="1" s="1"/>
  <c r="A203" i="1" s="1"/>
  <c r="A204" i="1" s="1"/>
  <c r="A205" i="1" s="1"/>
  <c r="A206" i="1" s="1"/>
  <c r="A208" i="1" s="1"/>
  <c r="A209" i="1" s="1"/>
  <c r="A210" i="1" s="1"/>
  <c r="A212" i="1" s="1"/>
  <c r="A213" i="1" s="1"/>
  <c r="A214" i="1" s="1"/>
  <c r="A216" i="1" l="1"/>
  <c r="A217" i="1" s="1"/>
  <c r="A218" i="1" s="1"/>
  <c r="A219" i="1" s="1"/>
  <c r="AU177" i="1"/>
  <c r="AW177" i="1" s="1"/>
  <c r="AO177" i="1"/>
  <c r="AM177" i="1"/>
  <c r="AK177" i="1"/>
  <c r="AI177" i="1"/>
  <c r="AG177" i="1"/>
  <c r="AE177" i="1"/>
  <c r="AC177" i="1"/>
  <c r="AA177" i="1"/>
  <c r="Y177" i="1"/>
  <c r="W177" i="1"/>
  <c r="U177" i="1"/>
  <c r="S177" i="1"/>
  <c r="Q177" i="1"/>
  <c r="O177" i="1"/>
  <c r="M177" i="1"/>
  <c r="K177" i="1"/>
  <c r="I177" i="1"/>
  <c r="G177" i="1"/>
  <c r="K78" i="1"/>
  <c r="M78" i="1"/>
  <c r="K79" i="1"/>
  <c r="M79" i="1"/>
  <c r="G78" i="1"/>
  <c r="I78" i="1"/>
  <c r="G79" i="1"/>
  <c r="I79" i="1"/>
  <c r="Z178" i="1"/>
  <c r="E178" i="1" s="1"/>
  <c r="Z206" i="1"/>
  <c r="N200" i="1"/>
  <c r="Z200" i="1"/>
  <c r="Z199" i="1"/>
  <c r="Z196" i="1"/>
  <c r="AH192" i="1"/>
  <c r="J192" i="1"/>
  <c r="Z192" i="1"/>
  <c r="Z189" i="1"/>
  <c r="A220" i="1" l="1"/>
  <c r="A221" i="1" s="1"/>
  <c r="A222" i="1" s="1"/>
  <c r="A223" i="1" s="1"/>
  <c r="A224" i="1" s="1"/>
  <c r="A225" i="1" s="1"/>
  <c r="A226" i="1" s="1"/>
  <c r="A227" i="1" s="1"/>
  <c r="A228" i="1" s="1"/>
  <c r="A229" i="1" s="1"/>
  <c r="E189" i="1"/>
  <c r="E192" i="1"/>
  <c r="AQ79" i="1"/>
  <c r="AP79" i="1" s="1"/>
  <c r="AY79" i="1" s="1"/>
  <c r="AQ78" i="1"/>
  <c r="AP78" i="1" s="1"/>
  <c r="AY78" i="1" s="1"/>
  <c r="AQ177" i="1"/>
  <c r="AZ177" i="1" s="1"/>
  <c r="AR175" i="1"/>
  <c r="AO185" i="1"/>
  <c r="AM185" i="1"/>
  <c r="AI185" i="1"/>
  <c r="AH185" i="1"/>
  <c r="AG185" i="1"/>
  <c r="AE185" i="1"/>
  <c r="AA185" i="1"/>
  <c r="Z185" i="1"/>
  <c r="AC185" i="1" s="1"/>
  <c r="Y185" i="1"/>
  <c r="W185" i="1"/>
  <c r="U185" i="1"/>
  <c r="S185" i="1"/>
  <c r="O185" i="1"/>
  <c r="N185" i="1"/>
  <c r="Q185" i="1" s="1"/>
  <c r="K185" i="1"/>
  <c r="J185" i="1"/>
  <c r="I185" i="1"/>
  <c r="G185" i="1"/>
  <c r="A230" i="1" l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P177" i="1"/>
  <c r="AY177" i="1" s="1"/>
  <c r="AZ78" i="1"/>
  <c r="AZ79" i="1"/>
  <c r="M185" i="1"/>
  <c r="E185" i="1"/>
  <c r="AX175" i="1"/>
  <c r="AW175" i="1"/>
  <c r="AK185" i="1"/>
  <c r="AQ185" i="1" l="1"/>
  <c r="Z133" i="1"/>
  <c r="E133" i="1" s="1"/>
  <c r="J132" i="1"/>
  <c r="J130" i="1"/>
  <c r="Z130" i="1"/>
  <c r="Z129" i="1"/>
  <c r="E129" i="1" s="1"/>
  <c r="Z128" i="1"/>
  <c r="E128" i="1" s="1"/>
  <c r="Z108" i="1"/>
  <c r="N104" i="1"/>
  <c r="N103" i="1"/>
  <c r="N100" i="1"/>
  <c r="N72" i="1"/>
  <c r="N71" i="1"/>
  <c r="AZ185" i="1" l="1"/>
  <c r="AP185" i="1"/>
  <c r="AY185" i="1" s="1"/>
  <c r="N77" i="1"/>
  <c r="J64" i="1" l="1"/>
  <c r="Z52" i="1"/>
  <c r="J52" i="1"/>
  <c r="AH49" i="1"/>
  <c r="N59" i="1"/>
  <c r="J59" i="1"/>
  <c r="J56" i="1"/>
  <c r="E56" i="1" s="1"/>
  <c r="Z55" i="1"/>
  <c r="AL55" i="1"/>
  <c r="E59" i="1" l="1"/>
  <c r="E52" i="1"/>
  <c r="E64" i="1"/>
  <c r="J212" i="1"/>
  <c r="E212" i="1" s="1"/>
  <c r="AH174" i="1" l="1"/>
  <c r="Z174" i="1"/>
  <c r="N174" i="1"/>
  <c r="N171" i="1"/>
  <c r="E174" i="1" l="1"/>
  <c r="AL171" i="1"/>
  <c r="E171" i="1" s="1"/>
  <c r="Z166" i="1" l="1"/>
  <c r="J166" i="1"/>
  <c r="E166" i="1" l="1"/>
  <c r="J24" i="1"/>
  <c r="AM23" i="1" l="1"/>
  <c r="AL23" i="1"/>
  <c r="AO23" i="1" s="1"/>
  <c r="AK23" i="1"/>
  <c r="AI23" i="1"/>
  <c r="AG23" i="1"/>
  <c r="AE23" i="1"/>
  <c r="AA23" i="1"/>
  <c r="AC23" i="1"/>
  <c r="Y23" i="1"/>
  <c r="W23" i="1"/>
  <c r="U23" i="1"/>
  <c r="S23" i="1"/>
  <c r="O23" i="1"/>
  <c r="N23" i="1"/>
  <c r="Q23" i="1" s="1"/>
  <c r="K23" i="1"/>
  <c r="J23" i="1"/>
  <c r="I23" i="1"/>
  <c r="G23" i="1"/>
  <c r="AM19" i="1"/>
  <c r="AL19" i="1"/>
  <c r="AO19" i="1" s="1"/>
  <c r="AI19" i="1"/>
  <c r="AH19" i="1"/>
  <c r="AK19" i="1" s="1"/>
  <c r="AG19" i="1"/>
  <c r="AE19" i="1"/>
  <c r="AA19" i="1"/>
  <c r="AC19" i="1"/>
  <c r="V19" i="1"/>
  <c r="Y19" i="1" s="1"/>
  <c r="U19" i="1"/>
  <c r="S19" i="1"/>
  <c r="O19" i="1"/>
  <c r="N19" i="1"/>
  <c r="K19" i="1"/>
  <c r="I19" i="1"/>
  <c r="G19" i="1"/>
  <c r="Q19" i="1" l="1"/>
  <c r="E19" i="1"/>
  <c r="M23" i="1"/>
  <c r="AQ23" i="1" s="1"/>
  <c r="AP23" i="1" s="1"/>
  <c r="AY23" i="1" s="1"/>
  <c r="E23" i="1"/>
  <c r="M19" i="1"/>
  <c r="AQ19" i="1" s="1"/>
  <c r="AZ23" i="1" l="1"/>
  <c r="AP19" i="1"/>
  <c r="AY19" i="1" s="1"/>
  <c r="AZ19" i="1"/>
  <c r="AR111" i="1"/>
  <c r="AR107" i="1"/>
  <c r="AX107" i="1" s="1"/>
  <c r="AL112" i="1"/>
  <c r="Z112" i="1"/>
  <c r="N112" i="1"/>
  <c r="J112" i="1"/>
  <c r="AL111" i="1"/>
  <c r="AO111" i="1" s="1"/>
  <c r="AH111" i="1"/>
  <c r="AK111" i="1" s="1"/>
  <c r="Z111" i="1"/>
  <c r="AC111" i="1" s="1"/>
  <c r="V111" i="1"/>
  <c r="Y111" i="1" s="1"/>
  <c r="N111" i="1"/>
  <c r="G111" i="1"/>
  <c r="I111" i="1"/>
  <c r="K111" i="1"/>
  <c r="M111" i="1"/>
  <c r="O111" i="1"/>
  <c r="S111" i="1"/>
  <c r="U111" i="1"/>
  <c r="W111" i="1"/>
  <c r="AA111" i="1"/>
  <c r="AE111" i="1"/>
  <c r="AG111" i="1"/>
  <c r="AI111" i="1"/>
  <c r="AM111" i="1"/>
  <c r="Z110" i="1"/>
  <c r="AL110" i="1"/>
  <c r="V110" i="1"/>
  <c r="J110" i="1"/>
  <c r="E110" i="1" l="1"/>
  <c r="Q111" i="1"/>
  <c r="AQ111" i="1" s="1"/>
  <c r="E111" i="1"/>
  <c r="AX111" i="1"/>
  <c r="AW111" i="1"/>
  <c r="E112" i="1"/>
  <c r="V108" i="1"/>
  <c r="N108" i="1"/>
  <c r="J108" i="1"/>
  <c r="AZ111" i="1" l="1"/>
  <c r="AP111" i="1"/>
  <c r="AY111" i="1" s="1"/>
  <c r="Z81" i="1"/>
  <c r="Z50" i="1"/>
  <c r="AU49" i="1" l="1"/>
  <c r="AU61" i="1"/>
  <c r="AW61" i="1" s="1"/>
  <c r="AU71" i="1"/>
  <c r="AU81" i="1"/>
  <c r="AU100" i="1"/>
  <c r="AW100" i="1" s="1"/>
  <c r="AU107" i="1"/>
  <c r="AW107" i="1" s="1"/>
  <c r="AU110" i="1"/>
  <c r="AU120" i="1"/>
  <c r="AW120" i="1" s="1"/>
  <c r="AU128" i="1"/>
  <c r="AW128" i="1" s="1"/>
  <c r="AU132" i="1"/>
  <c r="AW132" i="1" s="1"/>
  <c r="AU136" i="1"/>
  <c r="AW136" i="1" s="1"/>
  <c r="AU166" i="1"/>
  <c r="AU173" i="1"/>
  <c r="AU187" i="1"/>
  <c r="AW187" i="1" s="1"/>
  <c r="AU203" i="1"/>
  <c r="AW203" i="1" s="1"/>
  <c r="AU190" i="1"/>
  <c r="AU208" i="1"/>
  <c r="AW208" i="1" s="1"/>
  <c r="AU212" i="1"/>
  <c r="AW212" i="1" s="1"/>
  <c r="AU192" i="1"/>
  <c r="AU189" i="1"/>
  <c r="AW189" i="1" s="1"/>
  <c r="AU199" i="1"/>
  <c r="AW199" i="1" s="1"/>
  <c r="AU232" i="1"/>
  <c r="AW232" i="1" s="1"/>
  <c r="S230" i="1" l="1"/>
  <c r="Y230" i="1"/>
  <c r="AM52" i="1"/>
  <c r="O52" i="1" l="1"/>
  <c r="S52" i="1"/>
  <c r="AI16" i="1" l="1"/>
  <c r="AI17" i="1"/>
  <c r="AI18" i="1"/>
  <c r="AI20" i="1"/>
  <c r="AI21" i="1"/>
  <c r="AI22" i="1"/>
  <c r="AI24" i="1"/>
  <c r="AI25" i="1"/>
  <c r="AI26" i="1"/>
  <c r="AI27" i="1"/>
  <c r="AI28" i="1"/>
  <c r="AI29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4" i="1"/>
  <c r="AI220" i="1"/>
  <c r="AI46" i="1"/>
  <c r="AI47" i="1"/>
  <c r="AI49" i="1"/>
  <c r="AI50" i="1"/>
  <c r="AI51" i="1"/>
  <c r="AI52" i="1"/>
  <c r="AI53" i="1"/>
  <c r="AI54" i="1"/>
  <c r="AI55" i="1"/>
  <c r="AI61" i="1"/>
  <c r="AI62" i="1"/>
  <c r="AI56" i="1"/>
  <c r="AI57" i="1"/>
  <c r="AI64" i="1"/>
  <c r="AI65" i="1"/>
  <c r="AI66" i="1"/>
  <c r="AI67" i="1"/>
  <c r="AI68" i="1"/>
  <c r="AI59" i="1"/>
  <c r="AI58" i="1"/>
  <c r="AI71" i="1"/>
  <c r="AI72" i="1"/>
  <c r="AI73" i="1"/>
  <c r="AI74" i="1"/>
  <c r="AI75" i="1"/>
  <c r="AI76" i="1"/>
  <c r="AI77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100" i="1"/>
  <c r="AI101" i="1"/>
  <c r="AI102" i="1"/>
  <c r="AI103" i="1"/>
  <c r="AI104" i="1"/>
  <c r="AI107" i="1"/>
  <c r="AI108" i="1"/>
  <c r="AI110" i="1"/>
  <c r="AI112" i="1"/>
  <c r="AI113" i="1"/>
  <c r="AI114" i="1"/>
  <c r="AI115" i="1"/>
  <c r="AI116" i="1"/>
  <c r="AI117" i="1"/>
  <c r="AI120" i="1"/>
  <c r="AI121" i="1"/>
  <c r="AI122" i="1"/>
  <c r="AI123" i="1"/>
  <c r="AI124" i="1"/>
  <c r="AI125" i="1"/>
  <c r="AI126" i="1"/>
  <c r="AI128" i="1"/>
  <c r="AI129" i="1"/>
  <c r="AI130" i="1"/>
  <c r="AI132" i="1"/>
  <c r="AI133" i="1"/>
  <c r="AI134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6" i="1"/>
  <c r="AI167" i="1"/>
  <c r="AI168" i="1"/>
  <c r="AI169" i="1"/>
  <c r="AI170" i="1"/>
  <c r="AI171" i="1"/>
  <c r="AI178" i="1"/>
  <c r="AI179" i="1"/>
  <c r="AI180" i="1"/>
  <c r="AI181" i="1"/>
  <c r="AI182" i="1"/>
  <c r="AI173" i="1"/>
  <c r="AI174" i="1"/>
  <c r="AI183" i="1"/>
  <c r="AI184" i="1"/>
  <c r="AI175" i="1"/>
  <c r="AI187" i="1"/>
  <c r="AI203" i="1"/>
  <c r="AI204" i="1"/>
  <c r="AI205" i="1"/>
  <c r="AI190" i="1"/>
  <c r="AI208" i="1"/>
  <c r="AI209" i="1"/>
  <c r="AI210" i="1"/>
  <c r="AI206" i="1"/>
  <c r="AI212" i="1"/>
  <c r="AI213" i="1"/>
  <c r="AI192" i="1"/>
  <c r="AI193" i="1"/>
  <c r="AI194" i="1"/>
  <c r="AI195" i="1"/>
  <c r="AI196" i="1"/>
  <c r="AI197" i="1"/>
  <c r="AI214" i="1"/>
  <c r="AI189" i="1"/>
  <c r="AI199" i="1"/>
  <c r="AI200" i="1"/>
  <c r="AI201" i="1"/>
  <c r="AI221" i="1"/>
  <c r="AI222" i="1"/>
  <c r="AI223" i="1"/>
  <c r="AI224" i="1"/>
  <c r="AI225" i="1"/>
  <c r="AI226" i="1"/>
  <c r="AI227" i="1"/>
  <c r="AI228" i="1"/>
  <c r="AI229" i="1"/>
  <c r="AI230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E16" i="1"/>
  <c r="AE17" i="1"/>
  <c r="AE18" i="1"/>
  <c r="AE20" i="1"/>
  <c r="AE21" i="1"/>
  <c r="AE22" i="1"/>
  <c r="AE24" i="1"/>
  <c r="AE25" i="1"/>
  <c r="AE26" i="1"/>
  <c r="AE27" i="1"/>
  <c r="AE28" i="1"/>
  <c r="AE29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4" i="1"/>
  <c r="AE220" i="1"/>
  <c r="AE46" i="1"/>
  <c r="AE47" i="1"/>
  <c r="AE49" i="1"/>
  <c r="AE50" i="1"/>
  <c r="AE51" i="1"/>
  <c r="AE52" i="1"/>
  <c r="AE53" i="1"/>
  <c r="AE54" i="1"/>
  <c r="AE55" i="1"/>
  <c r="AE61" i="1"/>
  <c r="AE62" i="1"/>
  <c r="AE56" i="1"/>
  <c r="AE57" i="1"/>
  <c r="AE64" i="1"/>
  <c r="AE65" i="1"/>
  <c r="AE66" i="1"/>
  <c r="AE67" i="1"/>
  <c r="AE68" i="1"/>
  <c r="AE59" i="1"/>
  <c r="AE58" i="1"/>
  <c r="AE71" i="1"/>
  <c r="AE72" i="1"/>
  <c r="AE73" i="1"/>
  <c r="AE74" i="1"/>
  <c r="AE75" i="1"/>
  <c r="AE76" i="1"/>
  <c r="AE77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100" i="1"/>
  <c r="AE101" i="1"/>
  <c r="AE102" i="1"/>
  <c r="AE103" i="1"/>
  <c r="AE104" i="1"/>
  <c r="AE107" i="1"/>
  <c r="AE108" i="1"/>
  <c r="AE110" i="1"/>
  <c r="AE112" i="1"/>
  <c r="AE113" i="1"/>
  <c r="AE114" i="1"/>
  <c r="AE115" i="1"/>
  <c r="AE116" i="1"/>
  <c r="AE117" i="1"/>
  <c r="AE120" i="1"/>
  <c r="AE121" i="1"/>
  <c r="AE122" i="1"/>
  <c r="AE123" i="1"/>
  <c r="AE124" i="1"/>
  <c r="AE125" i="1"/>
  <c r="AE126" i="1"/>
  <c r="AE128" i="1"/>
  <c r="AE129" i="1"/>
  <c r="AE130" i="1"/>
  <c r="AE132" i="1"/>
  <c r="AE133" i="1"/>
  <c r="AE134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6" i="1"/>
  <c r="AE167" i="1"/>
  <c r="AE168" i="1"/>
  <c r="AE169" i="1"/>
  <c r="AE170" i="1"/>
  <c r="AE171" i="1"/>
  <c r="AE178" i="1"/>
  <c r="AE179" i="1"/>
  <c r="AE180" i="1"/>
  <c r="AE181" i="1"/>
  <c r="AE182" i="1"/>
  <c r="AE173" i="1"/>
  <c r="AE174" i="1"/>
  <c r="AE183" i="1"/>
  <c r="AE184" i="1"/>
  <c r="AE175" i="1"/>
  <c r="AE187" i="1"/>
  <c r="AE203" i="1"/>
  <c r="AE204" i="1"/>
  <c r="AE205" i="1"/>
  <c r="AE190" i="1"/>
  <c r="AE208" i="1"/>
  <c r="AE209" i="1"/>
  <c r="AE210" i="1"/>
  <c r="AE206" i="1"/>
  <c r="AE212" i="1"/>
  <c r="AE213" i="1"/>
  <c r="AE192" i="1"/>
  <c r="AE193" i="1"/>
  <c r="AE194" i="1"/>
  <c r="AE195" i="1"/>
  <c r="AE196" i="1"/>
  <c r="AE197" i="1"/>
  <c r="AE214" i="1"/>
  <c r="AE189" i="1"/>
  <c r="AE199" i="1"/>
  <c r="AE200" i="1"/>
  <c r="AE201" i="1"/>
  <c r="AE221" i="1"/>
  <c r="AE222" i="1"/>
  <c r="AE223" i="1"/>
  <c r="AE224" i="1"/>
  <c r="AE225" i="1"/>
  <c r="AE226" i="1"/>
  <c r="AE227" i="1"/>
  <c r="AE228" i="1"/>
  <c r="AE229" i="1"/>
  <c r="AE230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A16" i="1"/>
  <c r="AA17" i="1"/>
  <c r="AA18" i="1"/>
  <c r="AA20" i="1"/>
  <c r="AA21" i="1"/>
  <c r="AA22" i="1"/>
  <c r="AA24" i="1"/>
  <c r="AA25" i="1"/>
  <c r="AA26" i="1"/>
  <c r="AA27" i="1"/>
  <c r="AA28" i="1"/>
  <c r="AA29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4" i="1"/>
  <c r="AA220" i="1"/>
  <c r="AA46" i="1"/>
  <c r="AA47" i="1"/>
  <c r="AA49" i="1"/>
  <c r="AA50" i="1"/>
  <c r="AA51" i="1"/>
  <c r="AA52" i="1"/>
  <c r="AA53" i="1"/>
  <c r="AA54" i="1"/>
  <c r="AA55" i="1"/>
  <c r="AA61" i="1"/>
  <c r="AA62" i="1"/>
  <c r="AA56" i="1"/>
  <c r="AA57" i="1"/>
  <c r="AA64" i="1"/>
  <c r="AA65" i="1"/>
  <c r="AA66" i="1"/>
  <c r="AA67" i="1"/>
  <c r="AA68" i="1"/>
  <c r="AA59" i="1"/>
  <c r="AA58" i="1"/>
  <c r="AA71" i="1"/>
  <c r="AA72" i="1"/>
  <c r="AA73" i="1"/>
  <c r="AA74" i="1"/>
  <c r="AA75" i="1"/>
  <c r="AA76" i="1"/>
  <c r="AA77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100" i="1"/>
  <c r="AA101" i="1"/>
  <c r="AA102" i="1"/>
  <c r="AA103" i="1"/>
  <c r="AA104" i="1"/>
  <c r="AA107" i="1"/>
  <c r="AA108" i="1"/>
  <c r="AA110" i="1"/>
  <c r="AA112" i="1"/>
  <c r="AA113" i="1"/>
  <c r="AA114" i="1"/>
  <c r="AA115" i="1"/>
  <c r="AA116" i="1"/>
  <c r="AA117" i="1"/>
  <c r="AA120" i="1"/>
  <c r="AA121" i="1"/>
  <c r="AA122" i="1"/>
  <c r="AA123" i="1"/>
  <c r="AA124" i="1"/>
  <c r="AA125" i="1"/>
  <c r="AA126" i="1"/>
  <c r="AA128" i="1"/>
  <c r="AA129" i="1"/>
  <c r="AA130" i="1"/>
  <c r="AA132" i="1"/>
  <c r="AA133" i="1"/>
  <c r="AA134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6" i="1"/>
  <c r="AA167" i="1"/>
  <c r="AA168" i="1"/>
  <c r="AA169" i="1"/>
  <c r="AA170" i="1"/>
  <c r="AA171" i="1"/>
  <c r="AA178" i="1"/>
  <c r="AA179" i="1"/>
  <c r="AA180" i="1"/>
  <c r="AA181" i="1"/>
  <c r="AA182" i="1"/>
  <c r="AA173" i="1"/>
  <c r="AA174" i="1"/>
  <c r="AA183" i="1"/>
  <c r="AA184" i="1"/>
  <c r="AA175" i="1"/>
  <c r="AA187" i="1"/>
  <c r="AA203" i="1"/>
  <c r="AA204" i="1"/>
  <c r="AA205" i="1"/>
  <c r="AA190" i="1"/>
  <c r="AA208" i="1"/>
  <c r="AA209" i="1"/>
  <c r="AA210" i="1"/>
  <c r="AA206" i="1"/>
  <c r="AA212" i="1"/>
  <c r="AA213" i="1"/>
  <c r="AA192" i="1"/>
  <c r="AA193" i="1"/>
  <c r="AA194" i="1"/>
  <c r="AA195" i="1"/>
  <c r="AA196" i="1"/>
  <c r="AA197" i="1"/>
  <c r="AA214" i="1"/>
  <c r="AA189" i="1"/>
  <c r="AA199" i="1"/>
  <c r="AA200" i="1"/>
  <c r="AA201" i="1"/>
  <c r="AA221" i="1"/>
  <c r="AA222" i="1"/>
  <c r="AA223" i="1"/>
  <c r="AA224" i="1"/>
  <c r="AA225" i="1"/>
  <c r="AA226" i="1"/>
  <c r="AA227" i="1"/>
  <c r="AA228" i="1"/>
  <c r="AA229" i="1"/>
  <c r="AA230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W17" i="1"/>
  <c r="W20" i="1"/>
  <c r="W21" i="1"/>
  <c r="W22" i="1"/>
  <c r="W24" i="1"/>
  <c r="W26" i="1"/>
  <c r="W27" i="1"/>
  <c r="W28" i="1"/>
  <c r="W31" i="1"/>
  <c r="W32" i="1"/>
  <c r="W34" i="1"/>
  <c r="W35" i="1"/>
  <c r="W36" i="1"/>
  <c r="W38" i="1"/>
  <c r="W39" i="1"/>
  <c r="W40" i="1"/>
  <c r="W42" i="1"/>
  <c r="W44" i="1"/>
  <c r="W46" i="1"/>
  <c r="W47" i="1"/>
  <c r="W49" i="1"/>
  <c r="W50" i="1"/>
  <c r="W51" i="1"/>
  <c r="W53" i="1"/>
  <c r="W54" i="1"/>
  <c r="W55" i="1"/>
  <c r="W62" i="1"/>
  <c r="W56" i="1"/>
  <c r="W57" i="1"/>
  <c r="W65" i="1"/>
  <c r="W66" i="1"/>
  <c r="W68" i="1"/>
  <c r="W59" i="1"/>
  <c r="W58" i="1"/>
  <c r="W71" i="1"/>
  <c r="W72" i="1"/>
  <c r="W74" i="1"/>
  <c r="W75" i="1"/>
  <c r="W76" i="1"/>
  <c r="W81" i="1"/>
  <c r="W82" i="1"/>
  <c r="W84" i="1"/>
  <c r="W85" i="1"/>
  <c r="W86" i="1"/>
  <c r="W88" i="1"/>
  <c r="W89" i="1"/>
  <c r="W90" i="1"/>
  <c r="W92" i="1"/>
  <c r="W93" i="1"/>
  <c r="W94" i="1"/>
  <c r="W96" i="1"/>
  <c r="W97" i="1"/>
  <c r="W98" i="1"/>
  <c r="W100" i="1"/>
  <c r="W101" i="1"/>
  <c r="W102" i="1"/>
  <c r="W104" i="1"/>
  <c r="W108" i="1"/>
  <c r="W112" i="1"/>
  <c r="W114" i="1"/>
  <c r="W115" i="1"/>
  <c r="W116" i="1"/>
  <c r="W120" i="1"/>
  <c r="W122" i="1"/>
  <c r="W123" i="1"/>
  <c r="W124" i="1"/>
  <c r="W126" i="1"/>
  <c r="W128" i="1"/>
  <c r="W130" i="1"/>
  <c r="W132" i="1"/>
  <c r="W134" i="1"/>
  <c r="W136" i="1"/>
  <c r="W138" i="1"/>
  <c r="W139" i="1"/>
  <c r="W140" i="1"/>
  <c r="W142" i="1"/>
  <c r="W143" i="1"/>
  <c r="W144" i="1"/>
  <c r="W146" i="1"/>
  <c r="W147" i="1"/>
  <c r="W148" i="1"/>
  <c r="W150" i="1"/>
  <c r="W151" i="1"/>
  <c r="W152" i="1"/>
  <c r="W154" i="1"/>
  <c r="W155" i="1"/>
  <c r="W156" i="1"/>
  <c r="W158" i="1"/>
  <c r="W159" i="1"/>
  <c r="W160" i="1"/>
  <c r="W162" i="1"/>
  <c r="W163" i="1"/>
  <c r="W166" i="1"/>
  <c r="W167" i="1"/>
  <c r="W168" i="1"/>
  <c r="W170" i="1"/>
  <c r="W171" i="1"/>
  <c r="W179" i="1"/>
  <c r="W180" i="1"/>
  <c r="W181" i="1"/>
  <c r="W173" i="1"/>
  <c r="W174" i="1"/>
  <c r="W183" i="1"/>
  <c r="W184" i="1"/>
  <c r="W175" i="1"/>
  <c r="W187" i="1"/>
  <c r="W203" i="1"/>
  <c r="W204" i="1"/>
  <c r="W205" i="1"/>
  <c r="W190" i="1"/>
  <c r="W208" i="1"/>
  <c r="W209" i="1"/>
  <c r="W210" i="1"/>
  <c r="W212" i="1"/>
  <c r="W213" i="1"/>
  <c r="W192" i="1"/>
  <c r="W193" i="1"/>
  <c r="W194" i="1"/>
  <c r="W196" i="1"/>
  <c r="W197" i="1"/>
  <c r="W214" i="1"/>
  <c r="W189" i="1"/>
  <c r="W199" i="1"/>
  <c r="W200" i="1"/>
  <c r="W201" i="1"/>
  <c r="W221" i="1"/>
  <c r="W222" i="1"/>
  <c r="W223" i="1"/>
  <c r="W225" i="1"/>
  <c r="W226" i="1"/>
  <c r="W227" i="1"/>
  <c r="W229" i="1"/>
  <c r="W230" i="1"/>
  <c r="W232" i="1"/>
  <c r="W233" i="1"/>
  <c r="W234" i="1"/>
  <c r="W236" i="1"/>
  <c r="W237" i="1"/>
  <c r="W238" i="1"/>
  <c r="W240" i="1"/>
  <c r="W241" i="1"/>
  <c r="W242" i="1"/>
  <c r="W244" i="1"/>
  <c r="W245" i="1"/>
  <c r="W246" i="1"/>
  <c r="W248" i="1"/>
  <c r="W249" i="1"/>
  <c r="W251" i="1"/>
  <c r="W252" i="1"/>
  <c r="W253" i="1"/>
  <c r="W254" i="1"/>
  <c r="W255" i="1"/>
  <c r="W16" i="1"/>
  <c r="K14" i="1" l="1"/>
  <c r="K16" i="1"/>
  <c r="K17" i="1"/>
  <c r="K18" i="1"/>
  <c r="K20" i="1"/>
  <c r="K21" i="1"/>
  <c r="K22" i="1"/>
  <c r="K24" i="1"/>
  <c r="K25" i="1"/>
  <c r="K26" i="1"/>
  <c r="K27" i="1"/>
  <c r="K28" i="1"/>
  <c r="K29" i="1"/>
  <c r="K31" i="1"/>
  <c r="K32" i="1"/>
  <c r="K33" i="1"/>
  <c r="K34" i="1"/>
  <c r="K35" i="1"/>
  <c r="K36" i="1"/>
  <c r="K37" i="1"/>
  <c r="K38" i="1"/>
  <c r="K39" i="1"/>
  <c r="K40" i="1"/>
  <c r="K41" i="1"/>
  <c r="K42" i="1"/>
  <c r="K44" i="1"/>
  <c r="K220" i="1"/>
  <c r="K46" i="1"/>
  <c r="K47" i="1"/>
  <c r="K49" i="1"/>
  <c r="K50" i="1"/>
  <c r="K51" i="1"/>
  <c r="K52" i="1"/>
  <c r="K53" i="1"/>
  <c r="K54" i="1"/>
  <c r="K55" i="1"/>
  <c r="K61" i="1"/>
  <c r="K62" i="1"/>
  <c r="K56" i="1"/>
  <c r="K57" i="1"/>
  <c r="K64" i="1"/>
  <c r="K65" i="1"/>
  <c r="K66" i="1"/>
  <c r="K67" i="1"/>
  <c r="K68" i="1"/>
  <c r="K59" i="1"/>
  <c r="K58" i="1"/>
  <c r="K71" i="1"/>
  <c r="K72" i="1"/>
  <c r="K73" i="1"/>
  <c r="K74" i="1"/>
  <c r="K75" i="1"/>
  <c r="K76" i="1"/>
  <c r="K77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100" i="1"/>
  <c r="K101" i="1"/>
  <c r="K102" i="1"/>
  <c r="K103" i="1"/>
  <c r="K104" i="1"/>
  <c r="K107" i="1"/>
  <c r="K108" i="1"/>
  <c r="K110" i="1"/>
  <c r="K112" i="1"/>
  <c r="K113" i="1"/>
  <c r="K114" i="1"/>
  <c r="K115" i="1"/>
  <c r="K116" i="1"/>
  <c r="K117" i="1"/>
  <c r="K120" i="1"/>
  <c r="K121" i="1"/>
  <c r="K122" i="1"/>
  <c r="K123" i="1"/>
  <c r="K124" i="1"/>
  <c r="K125" i="1"/>
  <c r="K126" i="1"/>
  <c r="K128" i="1"/>
  <c r="K129" i="1"/>
  <c r="K130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6" i="1"/>
  <c r="K167" i="1"/>
  <c r="K168" i="1"/>
  <c r="K169" i="1"/>
  <c r="K170" i="1"/>
  <c r="K171" i="1"/>
  <c r="K178" i="1"/>
  <c r="K179" i="1"/>
  <c r="K180" i="1"/>
  <c r="K181" i="1"/>
  <c r="K182" i="1"/>
  <c r="K173" i="1"/>
  <c r="K174" i="1"/>
  <c r="K183" i="1"/>
  <c r="K184" i="1"/>
  <c r="K175" i="1"/>
  <c r="K187" i="1"/>
  <c r="K203" i="1"/>
  <c r="K204" i="1"/>
  <c r="K205" i="1"/>
  <c r="K190" i="1"/>
  <c r="K208" i="1"/>
  <c r="K209" i="1"/>
  <c r="K210" i="1"/>
  <c r="K206" i="1"/>
  <c r="K212" i="1"/>
  <c r="K213" i="1"/>
  <c r="K192" i="1"/>
  <c r="K193" i="1"/>
  <c r="K194" i="1"/>
  <c r="K195" i="1"/>
  <c r="K196" i="1"/>
  <c r="K197" i="1"/>
  <c r="K214" i="1"/>
  <c r="K189" i="1"/>
  <c r="K199" i="1"/>
  <c r="K200" i="1"/>
  <c r="K201" i="1"/>
  <c r="K221" i="1"/>
  <c r="K222" i="1"/>
  <c r="K223" i="1"/>
  <c r="K224" i="1"/>
  <c r="K225" i="1"/>
  <c r="K226" i="1"/>
  <c r="K227" i="1"/>
  <c r="K228" i="1"/>
  <c r="K229" i="1"/>
  <c r="K230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G14" i="1"/>
  <c r="G16" i="1"/>
  <c r="G17" i="1"/>
  <c r="G18" i="1"/>
  <c r="G20" i="1"/>
  <c r="G21" i="1"/>
  <c r="G22" i="1"/>
  <c r="G24" i="1"/>
  <c r="G25" i="1"/>
  <c r="G26" i="1"/>
  <c r="G27" i="1"/>
  <c r="G28" i="1"/>
  <c r="G29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220" i="1"/>
  <c r="G46" i="1"/>
  <c r="G47" i="1"/>
  <c r="G49" i="1"/>
  <c r="G50" i="1"/>
  <c r="G51" i="1"/>
  <c r="G52" i="1"/>
  <c r="G53" i="1"/>
  <c r="G54" i="1"/>
  <c r="G55" i="1"/>
  <c r="G61" i="1"/>
  <c r="G62" i="1"/>
  <c r="G56" i="1"/>
  <c r="G57" i="1"/>
  <c r="G64" i="1"/>
  <c r="G65" i="1"/>
  <c r="G66" i="1"/>
  <c r="G67" i="1"/>
  <c r="G68" i="1"/>
  <c r="G59" i="1"/>
  <c r="G58" i="1"/>
  <c r="G71" i="1"/>
  <c r="G72" i="1"/>
  <c r="G73" i="1"/>
  <c r="G74" i="1"/>
  <c r="G75" i="1"/>
  <c r="G76" i="1"/>
  <c r="G77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100" i="1"/>
  <c r="G101" i="1"/>
  <c r="G102" i="1"/>
  <c r="G103" i="1"/>
  <c r="G104" i="1"/>
  <c r="G107" i="1"/>
  <c r="G108" i="1"/>
  <c r="G110" i="1"/>
  <c r="G112" i="1"/>
  <c r="G113" i="1"/>
  <c r="G114" i="1"/>
  <c r="G115" i="1"/>
  <c r="G116" i="1"/>
  <c r="G117" i="1"/>
  <c r="G120" i="1"/>
  <c r="G121" i="1"/>
  <c r="G122" i="1"/>
  <c r="G123" i="1"/>
  <c r="G124" i="1"/>
  <c r="G125" i="1"/>
  <c r="G126" i="1"/>
  <c r="G128" i="1"/>
  <c r="G129" i="1"/>
  <c r="G130" i="1"/>
  <c r="G132" i="1"/>
  <c r="G133" i="1"/>
  <c r="G134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6" i="1"/>
  <c r="G167" i="1"/>
  <c r="G168" i="1"/>
  <c r="G169" i="1"/>
  <c r="G170" i="1"/>
  <c r="G171" i="1"/>
  <c r="G178" i="1"/>
  <c r="G179" i="1"/>
  <c r="G180" i="1"/>
  <c r="G181" i="1"/>
  <c r="G182" i="1"/>
  <c r="G173" i="1"/>
  <c r="G174" i="1"/>
  <c r="G183" i="1"/>
  <c r="G184" i="1"/>
  <c r="G175" i="1"/>
  <c r="G187" i="1"/>
  <c r="G203" i="1"/>
  <c r="G204" i="1"/>
  <c r="G205" i="1"/>
  <c r="G190" i="1"/>
  <c r="G208" i="1"/>
  <c r="G209" i="1"/>
  <c r="G210" i="1"/>
  <c r="G206" i="1"/>
  <c r="G212" i="1"/>
  <c r="G213" i="1"/>
  <c r="G192" i="1"/>
  <c r="G193" i="1"/>
  <c r="G194" i="1"/>
  <c r="G195" i="1"/>
  <c r="G196" i="1"/>
  <c r="G197" i="1"/>
  <c r="G214" i="1"/>
  <c r="G189" i="1"/>
  <c r="G199" i="1"/>
  <c r="G200" i="1"/>
  <c r="G201" i="1"/>
  <c r="G221" i="1"/>
  <c r="G222" i="1"/>
  <c r="G223" i="1"/>
  <c r="G224" i="1"/>
  <c r="G225" i="1"/>
  <c r="G226" i="1"/>
  <c r="G227" i="1"/>
  <c r="G228" i="1"/>
  <c r="G229" i="1"/>
  <c r="G230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N226" i="1" l="1"/>
  <c r="N199" i="1"/>
  <c r="N81" i="1"/>
  <c r="N50" i="1"/>
  <c r="AR171" i="1"/>
  <c r="Z169" i="1"/>
  <c r="V169" i="1"/>
  <c r="N169" i="1"/>
  <c r="J169" i="1"/>
  <c r="AR166" i="1"/>
  <c r="AR114" i="1"/>
  <c r="AR110" i="1"/>
  <c r="AR108" i="1"/>
  <c r="AL107" i="1"/>
  <c r="Z107" i="1"/>
  <c r="N107" i="1"/>
  <c r="J107" i="1"/>
  <c r="E107" i="1" s="1"/>
  <c r="AR98" i="1"/>
  <c r="AR85" i="1"/>
  <c r="AD81" i="1"/>
  <c r="AR84" i="1"/>
  <c r="AR83" i="1"/>
  <c r="AR82" i="1"/>
  <c r="AR81" i="1"/>
  <c r="AX82" i="1" l="1"/>
  <c r="AW82" i="1"/>
  <c r="AX84" i="1"/>
  <c r="AW84" i="1"/>
  <c r="AX85" i="1"/>
  <c r="AW85" i="1"/>
  <c r="AX110" i="1"/>
  <c r="AW110" i="1"/>
  <c r="AX166" i="1"/>
  <c r="AW166" i="1"/>
  <c r="E199" i="1"/>
  <c r="AX81" i="1"/>
  <c r="AW81" i="1"/>
  <c r="AX83" i="1"/>
  <c r="AW83" i="1"/>
  <c r="AX98" i="1"/>
  <c r="AW98" i="1"/>
  <c r="AX108" i="1"/>
  <c r="AW108" i="1"/>
  <c r="AX114" i="1"/>
  <c r="AW114" i="1"/>
  <c r="E169" i="1"/>
  <c r="AX171" i="1"/>
  <c r="AW171" i="1"/>
  <c r="AK52" i="1"/>
  <c r="AC52" i="1"/>
  <c r="M52" i="1"/>
  <c r="AR49" i="1"/>
  <c r="AL49" i="1"/>
  <c r="Z49" i="1"/>
  <c r="J49" i="1"/>
  <c r="AX49" i="1" l="1"/>
  <c r="AW49" i="1"/>
  <c r="AK230" i="1"/>
  <c r="AG230" i="1"/>
  <c r="U230" i="1"/>
  <c r="I230" i="1" l="1"/>
  <c r="AL230" i="1"/>
  <c r="Z230" i="1"/>
  <c r="AC230" i="1" s="1"/>
  <c r="N230" i="1"/>
  <c r="Q230" i="1" s="1"/>
  <c r="J230" i="1"/>
  <c r="M230" i="1" l="1"/>
  <c r="AQ230" i="1" s="1"/>
  <c r="AZ230" i="1" s="1"/>
  <c r="E230" i="1"/>
  <c r="Z223" i="1"/>
  <c r="V223" i="1"/>
  <c r="N223" i="1"/>
  <c r="J223" i="1"/>
  <c r="AH222" i="1"/>
  <c r="AL222" i="1"/>
  <c r="E223" i="1" l="1"/>
  <c r="E222" i="1"/>
  <c r="AP230" i="1"/>
  <c r="AY230" i="1" s="1"/>
  <c r="M13" i="1"/>
  <c r="AG52" i="1"/>
  <c r="Y52" i="1"/>
  <c r="U52" i="1"/>
  <c r="AK112" i="1" l="1"/>
  <c r="U112" i="1"/>
  <c r="AO108" i="1" l="1"/>
  <c r="AM108" i="1"/>
  <c r="AG108" i="1"/>
  <c r="U108" i="1"/>
  <c r="S108" i="1"/>
  <c r="S107" i="1"/>
  <c r="Q108" i="1"/>
  <c r="O108" i="1"/>
  <c r="I108" i="1"/>
  <c r="AM85" i="1"/>
  <c r="AO85" i="1"/>
  <c r="AM82" i="1"/>
  <c r="AO82" i="1"/>
  <c r="AM83" i="1"/>
  <c r="AO83" i="1"/>
  <c r="AM84" i="1"/>
  <c r="AO84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G82" i="1"/>
  <c r="AG83" i="1"/>
  <c r="AG84" i="1"/>
  <c r="AG85" i="1"/>
  <c r="AC84" i="1"/>
  <c r="Y83" i="1"/>
  <c r="Y84" i="1"/>
  <c r="Y85" i="1"/>
  <c r="S82" i="1"/>
  <c r="S83" i="1"/>
  <c r="U83" i="1"/>
  <c r="S84" i="1"/>
  <c r="O82" i="1"/>
  <c r="Q82" i="1"/>
  <c r="O83" i="1"/>
  <c r="O84" i="1"/>
  <c r="O85" i="1"/>
  <c r="O86" i="1"/>
  <c r="Q86" i="1"/>
  <c r="M84" i="1"/>
  <c r="M85" i="1"/>
  <c r="I83" i="1"/>
  <c r="I84" i="1"/>
  <c r="I85" i="1"/>
  <c r="I81" i="1"/>
  <c r="I82" i="1"/>
  <c r="AO255" i="1"/>
  <c r="AM255" i="1"/>
  <c r="AK255" i="1"/>
  <c r="AG255" i="1"/>
  <c r="Y255" i="1"/>
  <c r="U255" i="1"/>
  <c r="S255" i="1"/>
  <c r="Q255" i="1"/>
  <c r="O255" i="1"/>
  <c r="M255" i="1"/>
  <c r="I255" i="1"/>
  <c r="AR173" i="1"/>
  <c r="Z238" i="1"/>
  <c r="E237" i="1"/>
  <c r="J227" i="1"/>
  <c r="V226" i="1"/>
  <c r="J201" i="1"/>
  <c r="J200" i="1"/>
  <c r="N197" i="1"/>
  <c r="N196" i="1"/>
  <c r="Z195" i="1"/>
  <c r="N195" i="1"/>
  <c r="N194" i="1"/>
  <c r="Z193" i="1"/>
  <c r="AL206" i="1"/>
  <c r="N206" i="1"/>
  <c r="J206" i="1"/>
  <c r="Z208" i="1"/>
  <c r="N208" i="1"/>
  <c r="Z190" i="1"/>
  <c r="N190" i="1"/>
  <c r="J190" i="1"/>
  <c r="V205" i="1"/>
  <c r="N205" i="1"/>
  <c r="J205" i="1"/>
  <c r="Z204" i="1"/>
  <c r="V204" i="1"/>
  <c r="N204" i="1"/>
  <c r="J204" i="1"/>
  <c r="Z187" i="1"/>
  <c r="N187" i="1"/>
  <c r="J187" i="1"/>
  <c r="AH175" i="1"/>
  <c r="Z175" i="1"/>
  <c r="N175" i="1"/>
  <c r="J175" i="1"/>
  <c r="Z184" i="1"/>
  <c r="N184" i="1"/>
  <c r="J184" i="1"/>
  <c r="Z183" i="1"/>
  <c r="N183" i="1"/>
  <c r="J183" i="1"/>
  <c r="E184" i="1" l="1"/>
  <c r="E204" i="1"/>
  <c r="E205" i="1"/>
  <c r="E208" i="1"/>
  <c r="E206" i="1"/>
  <c r="E194" i="1"/>
  <c r="E197" i="1"/>
  <c r="E201" i="1"/>
  <c r="E226" i="1"/>
  <c r="AX173" i="1"/>
  <c r="AW173" i="1"/>
  <c r="E183" i="1"/>
  <c r="E175" i="1"/>
  <c r="E187" i="1"/>
  <c r="E190" i="1"/>
  <c r="E193" i="1"/>
  <c r="E195" i="1"/>
  <c r="E196" i="1"/>
  <c r="E200" i="1"/>
  <c r="E227" i="1"/>
  <c r="E238" i="1"/>
  <c r="AQ255" i="1"/>
  <c r="AP255" i="1" s="1"/>
  <c r="AY255" i="1" s="1"/>
  <c r="AZ255" i="1" l="1"/>
  <c r="Z180" i="1"/>
  <c r="V180" i="1"/>
  <c r="N180" i="1"/>
  <c r="Z168" i="1"/>
  <c r="N168" i="1"/>
  <c r="Z132" i="1"/>
  <c r="E132" i="1" s="1"/>
  <c r="AH130" i="1"/>
  <c r="E130" i="1" s="1"/>
  <c r="V124" i="1"/>
  <c r="E124" i="1" s="1"/>
  <c r="Z121" i="1"/>
  <c r="J121" i="1"/>
  <c r="Z120" i="1"/>
  <c r="E120" i="1" s="1"/>
  <c r="Z114" i="1"/>
  <c r="N114" i="1"/>
  <c r="J114" i="1"/>
  <c r="Z113" i="1"/>
  <c r="N113" i="1"/>
  <c r="AO52" i="1"/>
  <c r="Q52" i="1"/>
  <c r="I52" i="1"/>
  <c r="E113" i="1" l="1"/>
  <c r="E114" i="1"/>
  <c r="E121" i="1"/>
  <c r="AQ52" i="1"/>
  <c r="AZ52" i="1" s="1"/>
  <c r="E168" i="1"/>
  <c r="E180" i="1"/>
  <c r="AM47" i="1"/>
  <c r="AG47" i="1"/>
  <c r="AC47" i="1"/>
  <c r="U47" i="1"/>
  <c r="S47" i="1"/>
  <c r="Q47" i="1"/>
  <c r="O47" i="1"/>
  <c r="M47" i="1"/>
  <c r="I47" i="1"/>
  <c r="AP52" i="1" l="1"/>
  <c r="AY52" i="1" s="1"/>
  <c r="AK47" i="1"/>
  <c r="AO47" i="1"/>
  <c r="Z44" i="1"/>
  <c r="N44" i="1"/>
  <c r="Y47" i="1" l="1"/>
  <c r="AQ47" i="1" s="1"/>
  <c r="AR65" i="1"/>
  <c r="AR62" i="1"/>
  <c r="AX65" i="1" l="1"/>
  <c r="AW65" i="1"/>
  <c r="AZ47" i="1"/>
  <c r="AP47" i="1"/>
  <c r="AY47" i="1" s="1"/>
  <c r="AX62" i="1"/>
  <c r="AW62" i="1"/>
  <c r="V228" i="1"/>
  <c r="Z228" i="1"/>
  <c r="J228" i="1"/>
  <c r="V229" i="1"/>
  <c r="J254" i="1"/>
  <c r="E254" i="1" s="1"/>
  <c r="AH108" i="1"/>
  <c r="AC108" i="1"/>
  <c r="Y108" i="1"/>
  <c r="M108" i="1"/>
  <c r="AH104" i="1"/>
  <c r="Z104" i="1"/>
  <c r="V104" i="1"/>
  <c r="J104" i="1"/>
  <c r="Z103" i="1"/>
  <c r="V103" i="1"/>
  <c r="J103" i="1"/>
  <c r="Z101" i="1"/>
  <c r="N101" i="1"/>
  <c r="Z100" i="1"/>
  <c r="J100" i="1"/>
  <c r="Z85" i="1"/>
  <c r="AC85" i="1" s="1"/>
  <c r="N85" i="1"/>
  <c r="R84" i="1"/>
  <c r="U84" i="1" s="1"/>
  <c r="N84" i="1"/>
  <c r="Z83" i="1"/>
  <c r="AC83" i="1" s="1"/>
  <c r="N83" i="1"/>
  <c r="Q83" i="1" s="1"/>
  <c r="J83" i="1"/>
  <c r="E104" i="1" l="1"/>
  <c r="M83" i="1"/>
  <c r="AQ83" i="1" s="1"/>
  <c r="AZ83" i="1" s="1"/>
  <c r="E83" i="1"/>
  <c r="Q84" i="1"/>
  <c r="AQ84" i="1" s="1"/>
  <c r="AZ84" i="1" s="1"/>
  <c r="E84" i="1"/>
  <c r="Q85" i="1"/>
  <c r="E85" i="1"/>
  <c r="E100" i="1"/>
  <c r="E101" i="1"/>
  <c r="E103" i="1"/>
  <c r="AK108" i="1"/>
  <c r="E108" i="1"/>
  <c r="E229" i="1"/>
  <c r="AQ108" i="1"/>
  <c r="AZ108" i="1" s="1"/>
  <c r="V82" i="1"/>
  <c r="Y82" i="1" s="1"/>
  <c r="Z82" i="1"/>
  <c r="AC82" i="1" s="1"/>
  <c r="R82" i="1"/>
  <c r="U82" i="1" s="1"/>
  <c r="J82" i="1"/>
  <c r="V81" i="1"/>
  <c r="J81" i="1"/>
  <c r="E81" i="1" s="1"/>
  <c r="J77" i="1"/>
  <c r="E77" i="1" s="1"/>
  <c r="Z76" i="1"/>
  <c r="N76" i="1"/>
  <c r="Z72" i="1"/>
  <c r="J72" i="1"/>
  <c r="R71" i="1"/>
  <c r="AH71" i="1"/>
  <c r="V71" i="1"/>
  <c r="Z68" i="1"/>
  <c r="N68" i="1"/>
  <c r="J68" i="1"/>
  <c r="Z67" i="1"/>
  <c r="N67" i="1"/>
  <c r="N66" i="1"/>
  <c r="Z66" i="1"/>
  <c r="J66" i="1"/>
  <c r="E66" i="1" s="1"/>
  <c r="Z65" i="1"/>
  <c r="AL65" i="1"/>
  <c r="AH65" i="1"/>
  <c r="N65" i="1"/>
  <c r="J65" i="1"/>
  <c r="R57" i="1"/>
  <c r="E57" i="1" s="1"/>
  <c r="AL62" i="1"/>
  <c r="Z61" i="1"/>
  <c r="N61" i="1"/>
  <c r="J61" i="1"/>
  <c r="E61" i="1" s="1"/>
  <c r="N55" i="1"/>
  <c r="J55" i="1"/>
  <c r="E55" i="1" s="1"/>
  <c r="J54" i="1"/>
  <c r="Z54" i="1"/>
  <c r="N54" i="1"/>
  <c r="Z53" i="1"/>
  <c r="AH50" i="1"/>
  <c r="J50" i="1"/>
  <c r="E50" i="1" s="1"/>
  <c r="AP108" i="1" l="1"/>
  <c r="AY108" i="1" s="1"/>
  <c r="AP84" i="1"/>
  <c r="AY84" i="1" s="1"/>
  <c r="E53" i="1"/>
  <c r="E71" i="1"/>
  <c r="M82" i="1"/>
  <c r="AQ82" i="1" s="1"/>
  <c r="AZ82" i="1" s="1"/>
  <c r="E82" i="1"/>
  <c r="E54" i="1"/>
  <c r="E62" i="1"/>
  <c r="E65" i="1"/>
  <c r="E67" i="1"/>
  <c r="E68" i="1"/>
  <c r="E72" i="1"/>
  <c r="E76" i="1"/>
  <c r="AP83" i="1"/>
  <c r="AY83" i="1" s="1"/>
  <c r="J28" i="1"/>
  <c r="E28" i="1" s="1"/>
  <c r="AP82" i="1" l="1"/>
  <c r="AY82" i="1" s="1"/>
  <c r="N22" i="1"/>
  <c r="J20" i="1"/>
  <c r="Z20" i="1"/>
  <c r="N20" i="1"/>
  <c r="AR192" i="1"/>
  <c r="AR190" i="1"/>
  <c r="AR125" i="1"/>
  <c r="AR124" i="1"/>
  <c r="AR123" i="1"/>
  <c r="AR86" i="1"/>
  <c r="AR71" i="1"/>
  <c r="R49" i="1"/>
  <c r="V44" i="1"/>
  <c r="J44" i="1"/>
  <c r="Z24" i="1"/>
  <c r="N24" i="1"/>
  <c r="Z22" i="1"/>
  <c r="V22" i="1"/>
  <c r="J22" i="1"/>
  <c r="V21" i="1"/>
  <c r="AH20" i="1"/>
  <c r="Z17" i="1"/>
  <c r="E49" i="1" l="1"/>
  <c r="AX86" i="1"/>
  <c r="AW86" i="1"/>
  <c r="AX124" i="1"/>
  <c r="AW124" i="1"/>
  <c r="AX190" i="1"/>
  <c r="AW190" i="1"/>
  <c r="E44" i="1"/>
  <c r="AX71" i="1"/>
  <c r="AW71" i="1"/>
  <c r="AX123" i="1"/>
  <c r="AW123" i="1"/>
  <c r="AX125" i="1"/>
  <c r="AW125" i="1"/>
  <c r="AX192" i="1"/>
  <c r="AW192" i="1"/>
  <c r="Z13" i="1"/>
  <c r="N13" i="1"/>
  <c r="AL228" i="1"/>
  <c r="E228" i="1" l="1"/>
  <c r="AL24" i="1" l="1"/>
  <c r="AL22" i="1"/>
  <c r="AL21" i="1"/>
  <c r="AL20" i="1"/>
  <c r="AL17" i="1"/>
  <c r="AL14" i="1"/>
  <c r="E14" i="1" s="1"/>
  <c r="AL13" i="1"/>
  <c r="E13" i="1" s="1"/>
  <c r="E17" i="1" l="1"/>
  <c r="E20" i="1"/>
  <c r="E22" i="1"/>
  <c r="E21" i="1"/>
  <c r="E24" i="1"/>
  <c r="AX13" i="1" l="1"/>
  <c r="AO14" i="1"/>
  <c r="AO16" i="1"/>
  <c r="AO17" i="1"/>
  <c r="AO18" i="1"/>
  <c r="AO20" i="1"/>
  <c r="AO21" i="1"/>
  <c r="AO22" i="1"/>
  <c r="AO24" i="1"/>
  <c r="AO25" i="1"/>
  <c r="AO26" i="1"/>
  <c r="AO27" i="1"/>
  <c r="AO28" i="1"/>
  <c r="AO29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4" i="1"/>
  <c r="AO220" i="1"/>
  <c r="AO46" i="1"/>
  <c r="AO49" i="1"/>
  <c r="AO50" i="1"/>
  <c r="AO51" i="1"/>
  <c r="AO53" i="1"/>
  <c r="AO54" i="1"/>
  <c r="AO55" i="1"/>
  <c r="AO61" i="1"/>
  <c r="AO62" i="1"/>
  <c r="AO56" i="1"/>
  <c r="AO57" i="1"/>
  <c r="AO64" i="1"/>
  <c r="AO65" i="1"/>
  <c r="AO66" i="1"/>
  <c r="AO67" i="1"/>
  <c r="AO68" i="1"/>
  <c r="AO59" i="1"/>
  <c r="AO58" i="1"/>
  <c r="AO71" i="1"/>
  <c r="AO72" i="1"/>
  <c r="AO73" i="1"/>
  <c r="AO74" i="1"/>
  <c r="AO75" i="1"/>
  <c r="AO76" i="1"/>
  <c r="AO77" i="1"/>
  <c r="AO81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100" i="1"/>
  <c r="AO101" i="1"/>
  <c r="AO102" i="1"/>
  <c r="AO103" i="1"/>
  <c r="AO104" i="1"/>
  <c r="AO107" i="1"/>
  <c r="AO110" i="1"/>
  <c r="AO112" i="1"/>
  <c r="AO113" i="1"/>
  <c r="AO114" i="1"/>
  <c r="AO115" i="1"/>
  <c r="AO116" i="1"/>
  <c r="AO117" i="1"/>
  <c r="AO120" i="1"/>
  <c r="AO121" i="1"/>
  <c r="AO122" i="1"/>
  <c r="AO123" i="1"/>
  <c r="AO124" i="1"/>
  <c r="AO125" i="1"/>
  <c r="AO126" i="1"/>
  <c r="AO128" i="1"/>
  <c r="AO129" i="1"/>
  <c r="AO130" i="1"/>
  <c r="AO132" i="1"/>
  <c r="AO133" i="1"/>
  <c r="AO134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6" i="1"/>
  <c r="AO167" i="1"/>
  <c r="AO168" i="1"/>
  <c r="AO169" i="1"/>
  <c r="AO170" i="1"/>
  <c r="AO171" i="1"/>
  <c r="AO178" i="1"/>
  <c r="AO179" i="1"/>
  <c r="AO180" i="1"/>
  <c r="AO181" i="1"/>
  <c r="AO182" i="1"/>
  <c r="AO173" i="1"/>
  <c r="AO174" i="1"/>
  <c r="AO183" i="1"/>
  <c r="AO184" i="1"/>
  <c r="AO175" i="1"/>
  <c r="AO187" i="1"/>
  <c r="AO203" i="1"/>
  <c r="AO204" i="1"/>
  <c r="AO205" i="1"/>
  <c r="AO190" i="1"/>
  <c r="AO208" i="1"/>
  <c r="AO209" i="1"/>
  <c r="AO210" i="1"/>
  <c r="AO206" i="1"/>
  <c r="AO212" i="1"/>
  <c r="AO213" i="1"/>
  <c r="AO192" i="1"/>
  <c r="AO193" i="1"/>
  <c r="AO194" i="1"/>
  <c r="AO195" i="1"/>
  <c r="AO196" i="1"/>
  <c r="AO197" i="1"/>
  <c r="AO214" i="1"/>
  <c r="AO189" i="1"/>
  <c r="AO199" i="1"/>
  <c r="AO200" i="1"/>
  <c r="AO201" i="1"/>
  <c r="AO221" i="1"/>
  <c r="AO222" i="1"/>
  <c r="AO223" i="1"/>
  <c r="AO224" i="1"/>
  <c r="AO225" i="1"/>
  <c r="AO226" i="1"/>
  <c r="AO227" i="1"/>
  <c r="AO228" i="1"/>
  <c r="AO229" i="1"/>
  <c r="AO232" i="1"/>
  <c r="AO233" i="1"/>
  <c r="AO234" i="1"/>
  <c r="AO235" i="1"/>
  <c r="AO236" i="1"/>
  <c r="AO237" i="1"/>
  <c r="AO238" i="1"/>
  <c r="AO239" i="1"/>
  <c r="AO240" i="1"/>
  <c r="AO241" i="1"/>
  <c r="AO242" i="1"/>
  <c r="AO243" i="1"/>
  <c r="AO244" i="1"/>
  <c r="AO245" i="1"/>
  <c r="AO246" i="1"/>
  <c r="AO247" i="1"/>
  <c r="AO248" i="1"/>
  <c r="AO249" i="1"/>
  <c r="AO250" i="1"/>
  <c r="AO251" i="1"/>
  <c r="AO252" i="1"/>
  <c r="AO253" i="1"/>
  <c r="AO254" i="1"/>
  <c r="AO13" i="1"/>
  <c r="AM14" i="1"/>
  <c r="AM16" i="1"/>
  <c r="AM17" i="1"/>
  <c r="AM18" i="1"/>
  <c r="AM20" i="1"/>
  <c r="AM21" i="1"/>
  <c r="AM22" i="1"/>
  <c r="AM24" i="1"/>
  <c r="AM25" i="1"/>
  <c r="AM26" i="1"/>
  <c r="AM27" i="1"/>
  <c r="AM28" i="1"/>
  <c r="AM29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4" i="1"/>
  <c r="AM220" i="1"/>
  <c r="AM46" i="1"/>
  <c r="AM49" i="1"/>
  <c r="AM50" i="1"/>
  <c r="AM51" i="1"/>
  <c r="AM53" i="1"/>
  <c r="AM54" i="1"/>
  <c r="AM55" i="1"/>
  <c r="AM61" i="1"/>
  <c r="AM62" i="1"/>
  <c r="AM56" i="1"/>
  <c r="AM57" i="1"/>
  <c r="AM64" i="1"/>
  <c r="AM65" i="1"/>
  <c r="AM66" i="1"/>
  <c r="AM67" i="1"/>
  <c r="AM68" i="1"/>
  <c r="AM59" i="1"/>
  <c r="AM58" i="1"/>
  <c r="AM71" i="1"/>
  <c r="AM72" i="1"/>
  <c r="AM73" i="1"/>
  <c r="AM74" i="1"/>
  <c r="AM75" i="1"/>
  <c r="AM76" i="1"/>
  <c r="AM77" i="1"/>
  <c r="AM81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100" i="1"/>
  <c r="AM101" i="1"/>
  <c r="AM102" i="1"/>
  <c r="AM103" i="1"/>
  <c r="AM104" i="1"/>
  <c r="AM107" i="1"/>
  <c r="AM110" i="1"/>
  <c r="AM112" i="1"/>
  <c r="AM113" i="1"/>
  <c r="AM114" i="1"/>
  <c r="AM115" i="1"/>
  <c r="AM116" i="1"/>
  <c r="AM117" i="1"/>
  <c r="AM120" i="1"/>
  <c r="AM121" i="1"/>
  <c r="AM122" i="1"/>
  <c r="AM123" i="1"/>
  <c r="AM124" i="1"/>
  <c r="AM125" i="1"/>
  <c r="AM126" i="1"/>
  <c r="AM128" i="1"/>
  <c r="AM129" i="1"/>
  <c r="AM130" i="1"/>
  <c r="AM132" i="1"/>
  <c r="AM133" i="1"/>
  <c r="AM134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6" i="1"/>
  <c r="AM167" i="1"/>
  <c r="AM168" i="1"/>
  <c r="AM169" i="1"/>
  <c r="AM170" i="1"/>
  <c r="AM171" i="1"/>
  <c r="AM178" i="1"/>
  <c r="AM179" i="1"/>
  <c r="AM180" i="1"/>
  <c r="AM181" i="1"/>
  <c r="AM182" i="1"/>
  <c r="AM173" i="1"/>
  <c r="AM174" i="1"/>
  <c r="AM183" i="1"/>
  <c r="AM184" i="1"/>
  <c r="AM175" i="1"/>
  <c r="AM187" i="1"/>
  <c r="AM203" i="1"/>
  <c r="AM204" i="1"/>
  <c r="AM205" i="1"/>
  <c r="AM190" i="1"/>
  <c r="AM208" i="1"/>
  <c r="AM209" i="1"/>
  <c r="AM210" i="1"/>
  <c r="AM206" i="1"/>
  <c r="AM212" i="1"/>
  <c r="AM213" i="1"/>
  <c r="AM192" i="1"/>
  <c r="AM193" i="1"/>
  <c r="AM194" i="1"/>
  <c r="AM195" i="1"/>
  <c r="AM196" i="1"/>
  <c r="AM197" i="1"/>
  <c r="AM214" i="1"/>
  <c r="AM189" i="1"/>
  <c r="AM199" i="1"/>
  <c r="AM200" i="1"/>
  <c r="AM201" i="1"/>
  <c r="AM221" i="1"/>
  <c r="AM222" i="1"/>
  <c r="AM223" i="1"/>
  <c r="AM224" i="1"/>
  <c r="AM225" i="1"/>
  <c r="AM226" i="1"/>
  <c r="AM227" i="1"/>
  <c r="AM228" i="1"/>
  <c r="AM229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K14" i="1"/>
  <c r="AK16" i="1"/>
  <c r="AK17" i="1"/>
  <c r="AK18" i="1"/>
  <c r="AK20" i="1"/>
  <c r="AK21" i="1"/>
  <c r="AK22" i="1"/>
  <c r="AK24" i="1"/>
  <c r="AK25" i="1"/>
  <c r="AK26" i="1"/>
  <c r="AK27" i="1"/>
  <c r="AK28" i="1"/>
  <c r="AK29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4" i="1"/>
  <c r="AK220" i="1"/>
  <c r="AK46" i="1"/>
  <c r="AK49" i="1"/>
  <c r="AK50" i="1"/>
  <c r="AK51" i="1"/>
  <c r="AK53" i="1"/>
  <c r="AK54" i="1"/>
  <c r="AK55" i="1"/>
  <c r="AK61" i="1"/>
  <c r="AK62" i="1"/>
  <c r="AK56" i="1"/>
  <c r="AK57" i="1"/>
  <c r="AK64" i="1"/>
  <c r="AK65" i="1"/>
  <c r="AK66" i="1"/>
  <c r="AK67" i="1"/>
  <c r="AK68" i="1"/>
  <c r="AK59" i="1"/>
  <c r="AK58" i="1"/>
  <c r="AK71" i="1"/>
  <c r="AK72" i="1"/>
  <c r="AK73" i="1"/>
  <c r="AK74" i="1"/>
  <c r="AK75" i="1"/>
  <c r="AK76" i="1"/>
  <c r="AK77" i="1"/>
  <c r="AK81" i="1"/>
  <c r="AK100" i="1"/>
  <c r="AK101" i="1"/>
  <c r="AK102" i="1"/>
  <c r="AK103" i="1"/>
  <c r="AK104" i="1"/>
  <c r="AK107" i="1"/>
  <c r="AK110" i="1"/>
  <c r="AK113" i="1"/>
  <c r="AK114" i="1"/>
  <c r="AK115" i="1"/>
  <c r="AK116" i="1"/>
  <c r="AK117" i="1"/>
  <c r="AK120" i="1"/>
  <c r="AK121" i="1"/>
  <c r="AK122" i="1"/>
  <c r="AK123" i="1"/>
  <c r="AK124" i="1"/>
  <c r="AK125" i="1"/>
  <c r="AK126" i="1"/>
  <c r="AK128" i="1"/>
  <c r="AK129" i="1"/>
  <c r="AK130" i="1"/>
  <c r="AK132" i="1"/>
  <c r="AK133" i="1"/>
  <c r="AK134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6" i="1"/>
  <c r="AK167" i="1"/>
  <c r="AK168" i="1"/>
  <c r="AK169" i="1"/>
  <c r="AK170" i="1"/>
  <c r="AK171" i="1"/>
  <c r="AK178" i="1"/>
  <c r="AK179" i="1"/>
  <c r="AK180" i="1"/>
  <c r="AK181" i="1"/>
  <c r="AK182" i="1"/>
  <c r="AK173" i="1"/>
  <c r="AK174" i="1"/>
  <c r="AK183" i="1"/>
  <c r="AK184" i="1"/>
  <c r="AK175" i="1"/>
  <c r="AK187" i="1"/>
  <c r="AK203" i="1"/>
  <c r="AK204" i="1"/>
  <c r="AK205" i="1"/>
  <c r="AK190" i="1"/>
  <c r="AK208" i="1"/>
  <c r="AK209" i="1"/>
  <c r="AK210" i="1"/>
  <c r="AK206" i="1"/>
  <c r="AK212" i="1"/>
  <c r="AK213" i="1"/>
  <c r="AK192" i="1"/>
  <c r="AK193" i="1"/>
  <c r="AK194" i="1"/>
  <c r="AK195" i="1"/>
  <c r="AK196" i="1"/>
  <c r="AK197" i="1"/>
  <c r="AK214" i="1"/>
  <c r="AK189" i="1"/>
  <c r="AK199" i="1"/>
  <c r="AK200" i="1"/>
  <c r="AK201" i="1"/>
  <c r="AK221" i="1"/>
  <c r="AK222" i="1"/>
  <c r="AK223" i="1"/>
  <c r="AK224" i="1"/>
  <c r="AK225" i="1"/>
  <c r="AK226" i="1"/>
  <c r="AK227" i="1"/>
  <c r="AK228" i="1"/>
  <c r="AK229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I14" i="1"/>
  <c r="AG14" i="1"/>
  <c r="AG16" i="1"/>
  <c r="AG17" i="1"/>
  <c r="AG18" i="1"/>
  <c r="AG20" i="1"/>
  <c r="AG21" i="1"/>
  <c r="AG22" i="1"/>
  <c r="AG24" i="1"/>
  <c r="AG25" i="1"/>
  <c r="AG26" i="1"/>
  <c r="AG27" i="1"/>
  <c r="AG28" i="1"/>
  <c r="AG29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4" i="1"/>
  <c r="AG220" i="1"/>
  <c r="AG46" i="1"/>
  <c r="AG49" i="1"/>
  <c r="AG50" i="1"/>
  <c r="AG51" i="1"/>
  <c r="AG53" i="1"/>
  <c r="AG54" i="1"/>
  <c r="AG55" i="1"/>
  <c r="AG61" i="1"/>
  <c r="AG62" i="1"/>
  <c r="AG56" i="1"/>
  <c r="AG57" i="1"/>
  <c r="AG64" i="1"/>
  <c r="AG65" i="1"/>
  <c r="AG66" i="1"/>
  <c r="AG67" i="1"/>
  <c r="AG68" i="1"/>
  <c r="AG59" i="1"/>
  <c r="AG58" i="1"/>
  <c r="AG71" i="1"/>
  <c r="AG72" i="1"/>
  <c r="AG73" i="1"/>
  <c r="AG74" i="1"/>
  <c r="AG75" i="1"/>
  <c r="AG76" i="1"/>
  <c r="AG77" i="1"/>
  <c r="AG81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100" i="1"/>
  <c r="AG101" i="1"/>
  <c r="AG102" i="1"/>
  <c r="AG103" i="1"/>
  <c r="AG104" i="1"/>
  <c r="AG107" i="1"/>
  <c r="AG110" i="1"/>
  <c r="AG112" i="1"/>
  <c r="AG113" i="1"/>
  <c r="AG114" i="1"/>
  <c r="AG115" i="1"/>
  <c r="AG116" i="1"/>
  <c r="AG117" i="1"/>
  <c r="AG120" i="1"/>
  <c r="AG121" i="1"/>
  <c r="AG122" i="1"/>
  <c r="AG123" i="1"/>
  <c r="AG124" i="1"/>
  <c r="AG125" i="1"/>
  <c r="AG126" i="1"/>
  <c r="AG128" i="1"/>
  <c r="AG129" i="1"/>
  <c r="AG130" i="1"/>
  <c r="AG132" i="1"/>
  <c r="AG133" i="1"/>
  <c r="AG134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6" i="1"/>
  <c r="AG167" i="1"/>
  <c r="AG168" i="1"/>
  <c r="AG169" i="1"/>
  <c r="AG170" i="1"/>
  <c r="AG171" i="1"/>
  <c r="AG178" i="1"/>
  <c r="AG179" i="1"/>
  <c r="AG180" i="1"/>
  <c r="AG181" i="1"/>
  <c r="AG182" i="1"/>
  <c r="AG173" i="1"/>
  <c r="AG174" i="1"/>
  <c r="AG183" i="1"/>
  <c r="AG184" i="1"/>
  <c r="AG175" i="1"/>
  <c r="AG187" i="1"/>
  <c r="AG203" i="1"/>
  <c r="AG204" i="1"/>
  <c r="AG205" i="1"/>
  <c r="AG190" i="1"/>
  <c r="AG208" i="1"/>
  <c r="AG209" i="1"/>
  <c r="AG210" i="1"/>
  <c r="AG206" i="1"/>
  <c r="AG212" i="1"/>
  <c r="AG213" i="1"/>
  <c r="AG192" i="1"/>
  <c r="AG193" i="1"/>
  <c r="AG194" i="1"/>
  <c r="AG195" i="1"/>
  <c r="AG196" i="1"/>
  <c r="AG197" i="1"/>
  <c r="AG214" i="1"/>
  <c r="AG189" i="1"/>
  <c r="AG199" i="1"/>
  <c r="AG200" i="1"/>
  <c r="AG201" i="1"/>
  <c r="AG221" i="1"/>
  <c r="AG222" i="1"/>
  <c r="AG223" i="1"/>
  <c r="AG224" i="1"/>
  <c r="AG225" i="1"/>
  <c r="AG226" i="1"/>
  <c r="AG227" i="1"/>
  <c r="AG228" i="1"/>
  <c r="AG229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E14" i="1"/>
  <c r="AC14" i="1"/>
  <c r="AC16" i="1"/>
  <c r="AC17" i="1"/>
  <c r="AC18" i="1"/>
  <c r="AC20" i="1"/>
  <c r="AC21" i="1"/>
  <c r="AC22" i="1"/>
  <c r="AC24" i="1"/>
  <c r="AC25" i="1"/>
  <c r="AC26" i="1"/>
  <c r="AC27" i="1"/>
  <c r="AC28" i="1"/>
  <c r="AC29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4" i="1"/>
  <c r="AC220" i="1"/>
  <c r="AC46" i="1"/>
  <c r="AC49" i="1"/>
  <c r="AC50" i="1"/>
  <c r="AC51" i="1"/>
  <c r="AC53" i="1"/>
  <c r="AC54" i="1"/>
  <c r="AC55" i="1"/>
  <c r="AC61" i="1"/>
  <c r="AC62" i="1"/>
  <c r="AC56" i="1"/>
  <c r="AC57" i="1"/>
  <c r="AC64" i="1"/>
  <c r="AC65" i="1"/>
  <c r="AC66" i="1"/>
  <c r="AC67" i="1"/>
  <c r="AC68" i="1"/>
  <c r="AC59" i="1"/>
  <c r="AC58" i="1"/>
  <c r="AC71" i="1"/>
  <c r="AC72" i="1"/>
  <c r="AC73" i="1"/>
  <c r="AC74" i="1"/>
  <c r="AC75" i="1"/>
  <c r="AC76" i="1"/>
  <c r="AC77" i="1"/>
  <c r="AC81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100" i="1"/>
  <c r="AC101" i="1"/>
  <c r="AC102" i="1"/>
  <c r="AC103" i="1"/>
  <c r="AC104" i="1"/>
  <c r="AC107" i="1"/>
  <c r="AC110" i="1"/>
  <c r="AC112" i="1"/>
  <c r="AC113" i="1"/>
  <c r="AC114" i="1"/>
  <c r="AC115" i="1"/>
  <c r="AC116" i="1"/>
  <c r="AC117" i="1"/>
  <c r="AC120" i="1"/>
  <c r="AC121" i="1"/>
  <c r="AC122" i="1"/>
  <c r="AC123" i="1"/>
  <c r="AC124" i="1"/>
  <c r="AC125" i="1"/>
  <c r="AC126" i="1"/>
  <c r="AC128" i="1"/>
  <c r="AC129" i="1"/>
  <c r="AC130" i="1"/>
  <c r="AC132" i="1"/>
  <c r="AC133" i="1"/>
  <c r="AC134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6" i="1"/>
  <c r="AC167" i="1"/>
  <c r="AC168" i="1"/>
  <c r="AC169" i="1"/>
  <c r="AC170" i="1"/>
  <c r="AC171" i="1"/>
  <c r="AC178" i="1"/>
  <c r="AC179" i="1"/>
  <c r="AC180" i="1"/>
  <c r="AC181" i="1"/>
  <c r="AC182" i="1"/>
  <c r="AC173" i="1"/>
  <c r="AC174" i="1"/>
  <c r="AC183" i="1"/>
  <c r="AC184" i="1"/>
  <c r="AC175" i="1"/>
  <c r="AC187" i="1"/>
  <c r="AC203" i="1"/>
  <c r="AC204" i="1"/>
  <c r="AC205" i="1"/>
  <c r="AC190" i="1"/>
  <c r="AC208" i="1"/>
  <c r="AC209" i="1"/>
  <c r="AC210" i="1"/>
  <c r="AC206" i="1"/>
  <c r="AC212" i="1"/>
  <c r="AC213" i="1"/>
  <c r="AC192" i="1"/>
  <c r="AC193" i="1"/>
  <c r="AC194" i="1"/>
  <c r="AC195" i="1"/>
  <c r="AC196" i="1"/>
  <c r="AC197" i="1"/>
  <c r="AC214" i="1"/>
  <c r="AC189" i="1"/>
  <c r="AC199" i="1"/>
  <c r="AC200" i="1"/>
  <c r="AC201" i="1"/>
  <c r="AC221" i="1"/>
  <c r="AC222" i="1"/>
  <c r="AC223" i="1"/>
  <c r="AC224" i="1"/>
  <c r="AC225" i="1"/>
  <c r="AC226" i="1"/>
  <c r="AC227" i="1"/>
  <c r="AC228" i="1"/>
  <c r="AC229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A14" i="1"/>
  <c r="Y14" i="1"/>
  <c r="Y16" i="1"/>
  <c r="Y17" i="1"/>
  <c r="Y18" i="1"/>
  <c r="Y20" i="1"/>
  <c r="Y21" i="1"/>
  <c r="Y22" i="1"/>
  <c r="Y24" i="1"/>
  <c r="Y25" i="1"/>
  <c r="Y26" i="1"/>
  <c r="Y27" i="1"/>
  <c r="Y28" i="1"/>
  <c r="Y29" i="1"/>
  <c r="Y31" i="1"/>
  <c r="Y32" i="1"/>
  <c r="Y33" i="1"/>
  <c r="Y34" i="1"/>
  <c r="Y35" i="1"/>
  <c r="Y36" i="1"/>
  <c r="Y37" i="1"/>
  <c r="Y38" i="1"/>
  <c r="Y39" i="1"/>
  <c r="Y40" i="1"/>
  <c r="Y41" i="1"/>
  <c r="Y42" i="1"/>
  <c r="Y44" i="1"/>
  <c r="Y220" i="1"/>
  <c r="Y46" i="1"/>
  <c r="Y49" i="1"/>
  <c r="Y50" i="1"/>
  <c r="Y51" i="1"/>
  <c r="Y53" i="1"/>
  <c r="Y54" i="1"/>
  <c r="Y55" i="1"/>
  <c r="Y61" i="1"/>
  <c r="Y62" i="1"/>
  <c r="Y56" i="1"/>
  <c r="Y57" i="1"/>
  <c r="Y64" i="1"/>
  <c r="Y65" i="1"/>
  <c r="Y66" i="1"/>
  <c r="Y67" i="1"/>
  <c r="Y68" i="1"/>
  <c r="Y59" i="1"/>
  <c r="Y58" i="1"/>
  <c r="Y71" i="1"/>
  <c r="Y72" i="1"/>
  <c r="Y73" i="1"/>
  <c r="Y74" i="1"/>
  <c r="Y75" i="1"/>
  <c r="Y76" i="1"/>
  <c r="Y77" i="1"/>
  <c r="Y81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100" i="1"/>
  <c r="Y101" i="1"/>
  <c r="Y102" i="1"/>
  <c r="Y103" i="1"/>
  <c r="Y104" i="1"/>
  <c r="Y107" i="1"/>
  <c r="Y110" i="1"/>
  <c r="Y112" i="1"/>
  <c r="Y113" i="1"/>
  <c r="Y114" i="1"/>
  <c r="Y115" i="1"/>
  <c r="Y116" i="1"/>
  <c r="Y117" i="1"/>
  <c r="Y120" i="1"/>
  <c r="Y121" i="1"/>
  <c r="Y122" i="1"/>
  <c r="Y123" i="1"/>
  <c r="Y124" i="1"/>
  <c r="Y125" i="1"/>
  <c r="Y126" i="1"/>
  <c r="Y128" i="1"/>
  <c r="Y129" i="1"/>
  <c r="Y130" i="1"/>
  <c r="Y132" i="1"/>
  <c r="Y133" i="1"/>
  <c r="Y134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6" i="1"/>
  <c r="Y167" i="1"/>
  <c r="Y168" i="1"/>
  <c r="Y169" i="1"/>
  <c r="Y170" i="1"/>
  <c r="Y171" i="1"/>
  <c r="Y178" i="1"/>
  <c r="Y179" i="1"/>
  <c r="Y180" i="1"/>
  <c r="Y181" i="1"/>
  <c r="Y182" i="1"/>
  <c r="Y173" i="1"/>
  <c r="Y174" i="1"/>
  <c r="Y183" i="1"/>
  <c r="Y184" i="1"/>
  <c r="Y175" i="1"/>
  <c r="Y187" i="1"/>
  <c r="Y203" i="1"/>
  <c r="Y204" i="1"/>
  <c r="Y205" i="1"/>
  <c r="Y190" i="1"/>
  <c r="Y208" i="1"/>
  <c r="Y209" i="1"/>
  <c r="Y210" i="1"/>
  <c r="Y206" i="1"/>
  <c r="Y212" i="1"/>
  <c r="Y213" i="1"/>
  <c r="Y192" i="1"/>
  <c r="Y193" i="1"/>
  <c r="Y194" i="1"/>
  <c r="Y195" i="1"/>
  <c r="Y196" i="1"/>
  <c r="Y197" i="1"/>
  <c r="Y214" i="1"/>
  <c r="Y189" i="1"/>
  <c r="Y199" i="1"/>
  <c r="Y200" i="1"/>
  <c r="Y201" i="1"/>
  <c r="Y221" i="1"/>
  <c r="Y222" i="1"/>
  <c r="Y223" i="1"/>
  <c r="Y224" i="1"/>
  <c r="Y225" i="1"/>
  <c r="Y226" i="1"/>
  <c r="Y227" i="1"/>
  <c r="Y228" i="1"/>
  <c r="Y229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U14" i="1"/>
  <c r="U16" i="1"/>
  <c r="U17" i="1"/>
  <c r="U18" i="1"/>
  <c r="U20" i="1"/>
  <c r="U21" i="1"/>
  <c r="U22" i="1"/>
  <c r="U24" i="1"/>
  <c r="U25" i="1"/>
  <c r="U26" i="1"/>
  <c r="U27" i="1"/>
  <c r="U28" i="1"/>
  <c r="U29" i="1"/>
  <c r="U31" i="1"/>
  <c r="U32" i="1"/>
  <c r="U33" i="1"/>
  <c r="U34" i="1"/>
  <c r="U35" i="1"/>
  <c r="U36" i="1"/>
  <c r="U37" i="1"/>
  <c r="U38" i="1"/>
  <c r="U39" i="1"/>
  <c r="U40" i="1"/>
  <c r="U41" i="1"/>
  <c r="U42" i="1"/>
  <c r="U44" i="1"/>
  <c r="U220" i="1"/>
  <c r="U46" i="1"/>
  <c r="U49" i="1"/>
  <c r="U50" i="1"/>
  <c r="U51" i="1"/>
  <c r="U53" i="1"/>
  <c r="U54" i="1"/>
  <c r="U55" i="1"/>
  <c r="U61" i="1"/>
  <c r="U62" i="1"/>
  <c r="U56" i="1"/>
  <c r="U57" i="1"/>
  <c r="U64" i="1"/>
  <c r="U65" i="1"/>
  <c r="U66" i="1"/>
  <c r="U67" i="1"/>
  <c r="U68" i="1"/>
  <c r="U59" i="1"/>
  <c r="U58" i="1"/>
  <c r="U71" i="1"/>
  <c r="U72" i="1"/>
  <c r="U73" i="1"/>
  <c r="U74" i="1"/>
  <c r="U75" i="1"/>
  <c r="U76" i="1"/>
  <c r="U77" i="1"/>
  <c r="U81" i="1"/>
  <c r="U85" i="1"/>
  <c r="AQ85" i="1" s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100" i="1"/>
  <c r="U101" i="1"/>
  <c r="U102" i="1"/>
  <c r="U103" i="1"/>
  <c r="U104" i="1"/>
  <c r="U107" i="1"/>
  <c r="U110" i="1"/>
  <c r="U113" i="1"/>
  <c r="U114" i="1"/>
  <c r="U115" i="1"/>
  <c r="U116" i="1"/>
  <c r="U117" i="1"/>
  <c r="U120" i="1"/>
  <c r="U121" i="1"/>
  <c r="U122" i="1"/>
  <c r="U123" i="1"/>
  <c r="U124" i="1"/>
  <c r="U125" i="1"/>
  <c r="U126" i="1"/>
  <c r="U128" i="1"/>
  <c r="U129" i="1"/>
  <c r="U130" i="1"/>
  <c r="U132" i="1"/>
  <c r="U133" i="1"/>
  <c r="U134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6" i="1"/>
  <c r="U167" i="1"/>
  <c r="U168" i="1"/>
  <c r="U169" i="1"/>
  <c r="U170" i="1"/>
  <c r="U171" i="1"/>
  <c r="U178" i="1"/>
  <c r="U179" i="1"/>
  <c r="U180" i="1"/>
  <c r="U181" i="1"/>
  <c r="U182" i="1"/>
  <c r="U173" i="1"/>
  <c r="U174" i="1"/>
  <c r="U183" i="1"/>
  <c r="U184" i="1"/>
  <c r="U175" i="1"/>
  <c r="U187" i="1"/>
  <c r="U203" i="1"/>
  <c r="U204" i="1"/>
  <c r="U205" i="1"/>
  <c r="U190" i="1"/>
  <c r="U208" i="1"/>
  <c r="U209" i="1"/>
  <c r="U210" i="1"/>
  <c r="U206" i="1"/>
  <c r="U212" i="1"/>
  <c r="U213" i="1"/>
  <c r="U192" i="1"/>
  <c r="U193" i="1"/>
  <c r="U194" i="1"/>
  <c r="U195" i="1"/>
  <c r="U196" i="1"/>
  <c r="U197" i="1"/>
  <c r="U214" i="1"/>
  <c r="U189" i="1"/>
  <c r="U199" i="1"/>
  <c r="U200" i="1"/>
  <c r="U201" i="1"/>
  <c r="U221" i="1"/>
  <c r="U222" i="1"/>
  <c r="U223" i="1"/>
  <c r="U224" i="1"/>
  <c r="U225" i="1"/>
  <c r="U226" i="1"/>
  <c r="U227" i="1"/>
  <c r="U228" i="1"/>
  <c r="U229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S14" i="1"/>
  <c r="S16" i="1"/>
  <c r="S17" i="1"/>
  <c r="S18" i="1"/>
  <c r="S20" i="1"/>
  <c r="S21" i="1"/>
  <c r="S22" i="1"/>
  <c r="S24" i="1"/>
  <c r="S25" i="1"/>
  <c r="S26" i="1"/>
  <c r="S27" i="1"/>
  <c r="S28" i="1"/>
  <c r="S29" i="1"/>
  <c r="S31" i="1"/>
  <c r="S32" i="1"/>
  <c r="S33" i="1"/>
  <c r="S34" i="1"/>
  <c r="S35" i="1"/>
  <c r="S36" i="1"/>
  <c r="S37" i="1"/>
  <c r="S38" i="1"/>
  <c r="S39" i="1"/>
  <c r="S40" i="1"/>
  <c r="S41" i="1"/>
  <c r="S42" i="1"/>
  <c r="S44" i="1"/>
  <c r="S220" i="1"/>
  <c r="S46" i="1"/>
  <c r="S49" i="1"/>
  <c r="S50" i="1"/>
  <c r="S51" i="1"/>
  <c r="S53" i="1"/>
  <c r="S54" i="1"/>
  <c r="S55" i="1"/>
  <c r="S61" i="1"/>
  <c r="S62" i="1"/>
  <c r="S56" i="1"/>
  <c r="S57" i="1"/>
  <c r="S64" i="1"/>
  <c r="S65" i="1"/>
  <c r="S66" i="1"/>
  <c r="S67" i="1"/>
  <c r="S68" i="1"/>
  <c r="S59" i="1"/>
  <c r="S58" i="1"/>
  <c r="S71" i="1"/>
  <c r="S72" i="1"/>
  <c r="S73" i="1"/>
  <c r="S74" i="1"/>
  <c r="S75" i="1"/>
  <c r="S76" i="1"/>
  <c r="S77" i="1"/>
  <c r="S81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100" i="1"/>
  <c r="S101" i="1"/>
  <c r="S102" i="1"/>
  <c r="S103" i="1"/>
  <c r="S104" i="1"/>
  <c r="S110" i="1"/>
  <c r="S112" i="1"/>
  <c r="S113" i="1"/>
  <c r="S114" i="1"/>
  <c r="S115" i="1"/>
  <c r="S116" i="1"/>
  <c r="S117" i="1"/>
  <c r="S120" i="1"/>
  <c r="S121" i="1"/>
  <c r="S122" i="1"/>
  <c r="S123" i="1"/>
  <c r="S124" i="1"/>
  <c r="S125" i="1"/>
  <c r="S126" i="1"/>
  <c r="S128" i="1"/>
  <c r="S129" i="1"/>
  <c r="S130" i="1"/>
  <c r="S132" i="1"/>
  <c r="S133" i="1"/>
  <c r="S134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6" i="1"/>
  <c r="S167" i="1"/>
  <c r="S168" i="1"/>
  <c r="S169" i="1"/>
  <c r="S170" i="1"/>
  <c r="S171" i="1"/>
  <c r="S178" i="1"/>
  <c r="S179" i="1"/>
  <c r="S180" i="1"/>
  <c r="S181" i="1"/>
  <c r="S182" i="1"/>
  <c r="S173" i="1"/>
  <c r="S174" i="1"/>
  <c r="S183" i="1"/>
  <c r="S184" i="1"/>
  <c r="S175" i="1"/>
  <c r="S187" i="1"/>
  <c r="S203" i="1"/>
  <c r="S204" i="1"/>
  <c r="S205" i="1"/>
  <c r="S190" i="1"/>
  <c r="S208" i="1"/>
  <c r="S209" i="1"/>
  <c r="S210" i="1"/>
  <c r="S206" i="1"/>
  <c r="S212" i="1"/>
  <c r="S213" i="1"/>
  <c r="S192" i="1"/>
  <c r="S193" i="1"/>
  <c r="S194" i="1"/>
  <c r="S195" i="1"/>
  <c r="S196" i="1"/>
  <c r="S197" i="1"/>
  <c r="S214" i="1"/>
  <c r="S189" i="1"/>
  <c r="S199" i="1"/>
  <c r="S200" i="1"/>
  <c r="S201" i="1"/>
  <c r="S221" i="1"/>
  <c r="S222" i="1"/>
  <c r="S223" i="1"/>
  <c r="S224" i="1"/>
  <c r="S225" i="1"/>
  <c r="S226" i="1"/>
  <c r="S227" i="1"/>
  <c r="S228" i="1"/>
  <c r="S229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Q14" i="1"/>
  <c r="Q16" i="1"/>
  <c r="Q17" i="1"/>
  <c r="Q18" i="1"/>
  <c r="Q20" i="1"/>
  <c r="Q21" i="1"/>
  <c r="Q22" i="1"/>
  <c r="Q24" i="1"/>
  <c r="Q25" i="1"/>
  <c r="Q26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4" i="1"/>
  <c r="Q220" i="1"/>
  <c r="Q46" i="1"/>
  <c r="Q49" i="1"/>
  <c r="Q50" i="1"/>
  <c r="Q51" i="1"/>
  <c r="Q53" i="1"/>
  <c r="Q54" i="1"/>
  <c r="Q55" i="1"/>
  <c r="Q61" i="1"/>
  <c r="Q62" i="1"/>
  <c r="Q56" i="1"/>
  <c r="Q57" i="1"/>
  <c r="Q64" i="1"/>
  <c r="Q65" i="1"/>
  <c r="Q66" i="1"/>
  <c r="Q67" i="1"/>
  <c r="Q68" i="1"/>
  <c r="Q59" i="1"/>
  <c r="Q58" i="1"/>
  <c r="Q71" i="1"/>
  <c r="Q72" i="1"/>
  <c r="Q73" i="1"/>
  <c r="Q74" i="1"/>
  <c r="Q75" i="1"/>
  <c r="Q76" i="1"/>
  <c r="Q77" i="1"/>
  <c r="Q81" i="1"/>
  <c r="Q87" i="1"/>
  <c r="Q88" i="1"/>
  <c r="Q89" i="1"/>
  <c r="Q90" i="1"/>
  <c r="Q91" i="1"/>
  <c r="Q92" i="1"/>
  <c r="Q93" i="1"/>
  <c r="Q94" i="1"/>
  <c r="Q95" i="1"/>
  <c r="Q96" i="1"/>
  <c r="Q97" i="1"/>
  <c r="Q98" i="1"/>
  <c r="Q100" i="1"/>
  <c r="Q101" i="1"/>
  <c r="Q102" i="1"/>
  <c r="Q103" i="1"/>
  <c r="Q104" i="1"/>
  <c r="Q107" i="1"/>
  <c r="Q110" i="1"/>
  <c r="Q112" i="1"/>
  <c r="Q113" i="1"/>
  <c r="Q114" i="1"/>
  <c r="Q115" i="1"/>
  <c r="Q116" i="1"/>
  <c r="Q117" i="1"/>
  <c r="Q120" i="1"/>
  <c r="Q121" i="1"/>
  <c r="Q122" i="1"/>
  <c r="Q123" i="1"/>
  <c r="Q124" i="1"/>
  <c r="Q125" i="1"/>
  <c r="Q126" i="1"/>
  <c r="Q128" i="1"/>
  <c r="Q129" i="1"/>
  <c r="Q130" i="1"/>
  <c r="Q132" i="1"/>
  <c r="Q133" i="1"/>
  <c r="Q134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6" i="1"/>
  <c r="Q167" i="1"/>
  <c r="Q168" i="1"/>
  <c r="Q169" i="1"/>
  <c r="Q170" i="1"/>
  <c r="Q171" i="1"/>
  <c r="Q178" i="1"/>
  <c r="Q179" i="1"/>
  <c r="Q180" i="1"/>
  <c r="Q181" i="1"/>
  <c r="Q182" i="1"/>
  <c r="Q173" i="1"/>
  <c r="Q174" i="1"/>
  <c r="Q183" i="1"/>
  <c r="Q184" i="1"/>
  <c r="Q175" i="1"/>
  <c r="Q187" i="1"/>
  <c r="Q203" i="1"/>
  <c r="Q204" i="1"/>
  <c r="Q205" i="1"/>
  <c r="Q190" i="1"/>
  <c r="Q208" i="1"/>
  <c r="Q209" i="1"/>
  <c r="Q210" i="1"/>
  <c r="Q206" i="1"/>
  <c r="Q212" i="1"/>
  <c r="Q213" i="1"/>
  <c r="Q192" i="1"/>
  <c r="Q193" i="1"/>
  <c r="Q194" i="1"/>
  <c r="Q195" i="1"/>
  <c r="Q196" i="1"/>
  <c r="Q197" i="1"/>
  <c r="Q214" i="1"/>
  <c r="Q189" i="1"/>
  <c r="Q199" i="1"/>
  <c r="Q200" i="1"/>
  <c r="Q201" i="1"/>
  <c r="Q221" i="1"/>
  <c r="Q222" i="1"/>
  <c r="Q223" i="1"/>
  <c r="Q224" i="1"/>
  <c r="Q225" i="1"/>
  <c r="Q226" i="1"/>
  <c r="Q227" i="1"/>
  <c r="Q228" i="1"/>
  <c r="Q229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O14" i="1"/>
  <c r="O16" i="1"/>
  <c r="O17" i="1"/>
  <c r="O18" i="1"/>
  <c r="O20" i="1"/>
  <c r="O21" i="1"/>
  <c r="O22" i="1"/>
  <c r="O24" i="1"/>
  <c r="O25" i="1"/>
  <c r="O26" i="1"/>
  <c r="O27" i="1"/>
  <c r="O28" i="1"/>
  <c r="O29" i="1"/>
  <c r="O31" i="1"/>
  <c r="O32" i="1"/>
  <c r="O33" i="1"/>
  <c r="O34" i="1"/>
  <c r="O35" i="1"/>
  <c r="O36" i="1"/>
  <c r="O37" i="1"/>
  <c r="O38" i="1"/>
  <c r="O39" i="1"/>
  <c r="O40" i="1"/>
  <c r="O41" i="1"/>
  <c r="O42" i="1"/>
  <c r="O44" i="1"/>
  <c r="O220" i="1"/>
  <c r="O46" i="1"/>
  <c r="O49" i="1"/>
  <c r="O50" i="1"/>
  <c r="O51" i="1"/>
  <c r="O53" i="1"/>
  <c r="O54" i="1"/>
  <c r="O55" i="1"/>
  <c r="O61" i="1"/>
  <c r="O62" i="1"/>
  <c r="O56" i="1"/>
  <c r="O57" i="1"/>
  <c r="O64" i="1"/>
  <c r="O65" i="1"/>
  <c r="O66" i="1"/>
  <c r="O67" i="1"/>
  <c r="O68" i="1"/>
  <c r="O59" i="1"/>
  <c r="O58" i="1"/>
  <c r="O71" i="1"/>
  <c r="O72" i="1"/>
  <c r="O73" i="1"/>
  <c r="O74" i="1"/>
  <c r="O75" i="1"/>
  <c r="O76" i="1"/>
  <c r="O77" i="1"/>
  <c r="O81" i="1"/>
  <c r="O87" i="1"/>
  <c r="O88" i="1"/>
  <c r="O89" i="1"/>
  <c r="O90" i="1"/>
  <c r="O91" i="1"/>
  <c r="O92" i="1"/>
  <c r="O93" i="1"/>
  <c r="O94" i="1"/>
  <c r="O95" i="1"/>
  <c r="O96" i="1"/>
  <c r="O97" i="1"/>
  <c r="O98" i="1"/>
  <c r="O100" i="1"/>
  <c r="O101" i="1"/>
  <c r="O102" i="1"/>
  <c r="O103" i="1"/>
  <c r="O104" i="1"/>
  <c r="O107" i="1"/>
  <c r="O110" i="1"/>
  <c r="O112" i="1"/>
  <c r="O113" i="1"/>
  <c r="O114" i="1"/>
  <c r="O115" i="1"/>
  <c r="O116" i="1"/>
  <c r="O117" i="1"/>
  <c r="O120" i="1"/>
  <c r="O121" i="1"/>
  <c r="O122" i="1"/>
  <c r="O123" i="1"/>
  <c r="O124" i="1"/>
  <c r="O125" i="1"/>
  <c r="O126" i="1"/>
  <c r="O128" i="1"/>
  <c r="O129" i="1"/>
  <c r="O130" i="1"/>
  <c r="O132" i="1"/>
  <c r="O133" i="1"/>
  <c r="O134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6" i="1"/>
  <c r="O167" i="1"/>
  <c r="O168" i="1"/>
  <c r="O169" i="1"/>
  <c r="O170" i="1"/>
  <c r="O171" i="1"/>
  <c r="O178" i="1"/>
  <c r="O179" i="1"/>
  <c r="O180" i="1"/>
  <c r="O181" i="1"/>
  <c r="O182" i="1"/>
  <c r="O173" i="1"/>
  <c r="O174" i="1"/>
  <c r="O183" i="1"/>
  <c r="O184" i="1"/>
  <c r="O175" i="1"/>
  <c r="O187" i="1"/>
  <c r="O203" i="1"/>
  <c r="O204" i="1"/>
  <c r="O205" i="1"/>
  <c r="O190" i="1"/>
  <c r="O208" i="1"/>
  <c r="O209" i="1"/>
  <c r="O210" i="1"/>
  <c r="O206" i="1"/>
  <c r="O212" i="1"/>
  <c r="O213" i="1"/>
  <c r="O192" i="1"/>
  <c r="O193" i="1"/>
  <c r="O194" i="1"/>
  <c r="O195" i="1"/>
  <c r="O196" i="1"/>
  <c r="O197" i="1"/>
  <c r="O214" i="1"/>
  <c r="O189" i="1"/>
  <c r="O199" i="1"/>
  <c r="O200" i="1"/>
  <c r="O201" i="1"/>
  <c r="O221" i="1"/>
  <c r="O222" i="1"/>
  <c r="O223" i="1"/>
  <c r="O224" i="1"/>
  <c r="O225" i="1"/>
  <c r="O226" i="1"/>
  <c r="O227" i="1"/>
  <c r="O228" i="1"/>
  <c r="O229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M14" i="1"/>
  <c r="M16" i="1"/>
  <c r="M17" i="1"/>
  <c r="M18" i="1"/>
  <c r="M20" i="1"/>
  <c r="M21" i="1"/>
  <c r="M22" i="1"/>
  <c r="M24" i="1"/>
  <c r="M25" i="1"/>
  <c r="M26" i="1"/>
  <c r="M27" i="1"/>
  <c r="M28" i="1"/>
  <c r="M29" i="1"/>
  <c r="M31" i="1"/>
  <c r="M32" i="1"/>
  <c r="M33" i="1"/>
  <c r="M34" i="1"/>
  <c r="M35" i="1"/>
  <c r="M36" i="1"/>
  <c r="M37" i="1"/>
  <c r="M38" i="1"/>
  <c r="M39" i="1"/>
  <c r="M40" i="1"/>
  <c r="M41" i="1"/>
  <c r="M42" i="1"/>
  <c r="M44" i="1"/>
  <c r="M220" i="1"/>
  <c r="M46" i="1"/>
  <c r="M49" i="1"/>
  <c r="M50" i="1"/>
  <c r="M51" i="1"/>
  <c r="M53" i="1"/>
  <c r="M54" i="1"/>
  <c r="M55" i="1"/>
  <c r="M61" i="1"/>
  <c r="M62" i="1"/>
  <c r="M56" i="1"/>
  <c r="M57" i="1"/>
  <c r="M64" i="1"/>
  <c r="M65" i="1"/>
  <c r="M66" i="1"/>
  <c r="M67" i="1"/>
  <c r="M68" i="1"/>
  <c r="M59" i="1"/>
  <c r="M58" i="1"/>
  <c r="M71" i="1"/>
  <c r="M72" i="1"/>
  <c r="M73" i="1"/>
  <c r="M74" i="1"/>
  <c r="M75" i="1"/>
  <c r="M76" i="1"/>
  <c r="M77" i="1"/>
  <c r="M81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100" i="1"/>
  <c r="M101" i="1"/>
  <c r="M102" i="1"/>
  <c r="M103" i="1"/>
  <c r="M104" i="1"/>
  <c r="M107" i="1"/>
  <c r="M110" i="1"/>
  <c r="M112" i="1"/>
  <c r="M113" i="1"/>
  <c r="M114" i="1"/>
  <c r="M115" i="1"/>
  <c r="M116" i="1"/>
  <c r="M117" i="1"/>
  <c r="M120" i="1"/>
  <c r="M121" i="1"/>
  <c r="M122" i="1"/>
  <c r="M123" i="1"/>
  <c r="M124" i="1"/>
  <c r="M125" i="1"/>
  <c r="M126" i="1"/>
  <c r="M128" i="1"/>
  <c r="M129" i="1"/>
  <c r="M130" i="1"/>
  <c r="M132" i="1"/>
  <c r="M133" i="1"/>
  <c r="M134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6" i="1"/>
  <c r="M167" i="1"/>
  <c r="M168" i="1"/>
  <c r="M169" i="1"/>
  <c r="M170" i="1"/>
  <c r="M171" i="1"/>
  <c r="M178" i="1"/>
  <c r="M179" i="1"/>
  <c r="M180" i="1"/>
  <c r="M181" i="1"/>
  <c r="M182" i="1"/>
  <c r="M173" i="1"/>
  <c r="M174" i="1"/>
  <c r="M183" i="1"/>
  <c r="M184" i="1"/>
  <c r="M175" i="1"/>
  <c r="M187" i="1"/>
  <c r="M203" i="1"/>
  <c r="M204" i="1"/>
  <c r="M205" i="1"/>
  <c r="M190" i="1"/>
  <c r="M208" i="1"/>
  <c r="M209" i="1"/>
  <c r="M210" i="1"/>
  <c r="M206" i="1"/>
  <c r="M212" i="1"/>
  <c r="M213" i="1"/>
  <c r="M192" i="1"/>
  <c r="M193" i="1"/>
  <c r="M194" i="1"/>
  <c r="M195" i="1"/>
  <c r="M196" i="1"/>
  <c r="M197" i="1"/>
  <c r="M214" i="1"/>
  <c r="M189" i="1"/>
  <c r="M199" i="1"/>
  <c r="M200" i="1"/>
  <c r="M201" i="1"/>
  <c r="M221" i="1"/>
  <c r="M222" i="1"/>
  <c r="M223" i="1"/>
  <c r="M224" i="1"/>
  <c r="M225" i="1"/>
  <c r="M226" i="1"/>
  <c r="M227" i="1"/>
  <c r="M228" i="1"/>
  <c r="M229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I14" i="1"/>
  <c r="I16" i="1"/>
  <c r="I17" i="1"/>
  <c r="I18" i="1"/>
  <c r="I20" i="1"/>
  <c r="I21" i="1"/>
  <c r="I22" i="1"/>
  <c r="I24" i="1"/>
  <c r="I25" i="1"/>
  <c r="I26" i="1"/>
  <c r="I27" i="1"/>
  <c r="I28" i="1"/>
  <c r="I29" i="1"/>
  <c r="I31" i="1"/>
  <c r="I32" i="1"/>
  <c r="I33" i="1"/>
  <c r="I34" i="1"/>
  <c r="I35" i="1"/>
  <c r="I36" i="1"/>
  <c r="I37" i="1"/>
  <c r="I38" i="1"/>
  <c r="I39" i="1"/>
  <c r="I40" i="1"/>
  <c r="I41" i="1"/>
  <c r="I42" i="1"/>
  <c r="I44" i="1"/>
  <c r="I220" i="1"/>
  <c r="I46" i="1"/>
  <c r="I49" i="1"/>
  <c r="I50" i="1"/>
  <c r="I51" i="1"/>
  <c r="I53" i="1"/>
  <c r="I54" i="1"/>
  <c r="I55" i="1"/>
  <c r="I61" i="1"/>
  <c r="I62" i="1"/>
  <c r="I56" i="1"/>
  <c r="I57" i="1"/>
  <c r="I64" i="1"/>
  <c r="I65" i="1"/>
  <c r="I66" i="1"/>
  <c r="I67" i="1"/>
  <c r="I68" i="1"/>
  <c r="I59" i="1"/>
  <c r="I58" i="1"/>
  <c r="I71" i="1"/>
  <c r="I72" i="1"/>
  <c r="I73" i="1"/>
  <c r="I74" i="1"/>
  <c r="I75" i="1"/>
  <c r="I76" i="1"/>
  <c r="I77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100" i="1"/>
  <c r="I101" i="1"/>
  <c r="I102" i="1"/>
  <c r="I103" i="1"/>
  <c r="I104" i="1"/>
  <c r="I107" i="1"/>
  <c r="I110" i="1"/>
  <c r="I112" i="1"/>
  <c r="I113" i="1"/>
  <c r="I114" i="1"/>
  <c r="I115" i="1"/>
  <c r="I116" i="1"/>
  <c r="I117" i="1"/>
  <c r="I120" i="1"/>
  <c r="I121" i="1"/>
  <c r="I122" i="1"/>
  <c r="I123" i="1"/>
  <c r="I124" i="1"/>
  <c r="I125" i="1"/>
  <c r="I126" i="1"/>
  <c r="I128" i="1"/>
  <c r="I129" i="1"/>
  <c r="I130" i="1"/>
  <c r="I132" i="1"/>
  <c r="I133" i="1"/>
  <c r="I134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6" i="1"/>
  <c r="I167" i="1"/>
  <c r="I168" i="1"/>
  <c r="I169" i="1"/>
  <c r="I170" i="1"/>
  <c r="I171" i="1"/>
  <c r="I178" i="1"/>
  <c r="I179" i="1"/>
  <c r="I180" i="1"/>
  <c r="I181" i="1"/>
  <c r="I182" i="1"/>
  <c r="I173" i="1"/>
  <c r="I174" i="1"/>
  <c r="I183" i="1"/>
  <c r="I184" i="1"/>
  <c r="I175" i="1"/>
  <c r="I187" i="1"/>
  <c r="I203" i="1"/>
  <c r="I204" i="1"/>
  <c r="I205" i="1"/>
  <c r="I190" i="1"/>
  <c r="I208" i="1"/>
  <c r="I209" i="1"/>
  <c r="I210" i="1"/>
  <c r="I206" i="1"/>
  <c r="I212" i="1"/>
  <c r="I213" i="1"/>
  <c r="I192" i="1"/>
  <c r="I193" i="1"/>
  <c r="I194" i="1"/>
  <c r="I195" i="1"/>
  <c r="I196" i="1"/>
  <c r="I197" i="1"/>
  <c r="I214" i="1"/>
  <c r="I189" i="1"/>
  <c r="I199" i="1"/>
  <c r="I200" i="1"/>
  <c r="I201" i="1"/>
  <c r="I221" i="1"/>
  <c r="I222" i="1"/>
  <c r="I223" i="1"/>
  <c r="I224" i="1"/>
  <c r="I225" i="1"/>
  <c r="I226" i="1"/>
  <c r="I227" i="1"/>
  <c r="I228" i="1"/>
  <c r="I229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G13" i="1"/>
  <c r="AO259" i="1" l="1"/>
  <c r="AQ59" i="1"/>
  <c r="AZ59" i="1" s="1"/>
  <c r="AQ62" i="1"/>
  <c r="AZ62" i="1" s="1"/>
  <c r="AQ253" i="1"/>
  <c r="AP253" i="1" s="1"/>
  <c r="AY253" i="1" s="1"/>
  <c r="AQ77" i="1"/>
  <c r="AZ77" i="1" s="1"/>
  <c r="AQ75" i="1"/>
  <c r="AP75" i="1" s="1"/>
  <c r="AY75" i="1" s="1"/>
  <c r="AQ73" i="1"/>
  <c r="AZ73" i="1" s="1"/>
  <c r="AQ71" i="1"/>
  <c r="AP71" i="1" s="1"/>
  <c r="AY71" i="1" s="1"/>
  <c r="AQ67" i="1"/>
  <c r="AP67" i="1" s="1"/>
  <c r="AY67" i="1" s="1"/>
  <c r="AQ65" i="1"/>
  <c r="AP65" i="1" s="1"/>
  <c r="AY65" i="1" s="1"/>
  <c r="AQ57" i="1"/>
  <c r="AP57" i="1" s="1"/>
  <c r="AY57" i="1" s="1"/>
  <c r="AQ55" i="1"/>
  <c r="AP55" i="1" s="1"/>
  <c r="AY55" i="1" s="1"/>
  <c r="AQ53" i="1"/>
  <c r="AZ53" i="1" s="1"/>
  <c r="AQ50" i="1"/>
  <c r="AP50" i="1" s="1"/>
  <c r="AY50" i="1" s="1"/>
  <c r="AQ46" i="1"/>
  <c r="AZ46" i="1" s="1"/>
  <c r="AQ44" i="1"/>
  <c r="AZ44" i="1" s="1"/>
  <c r="AQ41" i="1"/>
  <c r="AZ41" i="1" s="1"/>
  <c r="AQ39" i="1"/>
  <c r="AP39" i="1" s="1"/>
  <c r="AY39" i="1" s="1"/>
  <c r="AQ37" i="1"/>
  <c r="AZ37" i="1" s="1"/>
  <c r="AQ35" i="1"/>
  <c r="AP35" i="1" s="1"/>
  <c r="AY35" i="1" s="1"/>
  <c r="AQ33" i="1"/>
  <c r="AZ33" i="1" s="1"/>
  <c r="AQ31" i="1"/>
  <c r="AP31" i="1" s="1"/>
  <c r="AY31" i="1" s="1"/>
  <c r="AQ28" i="1"/>
  <c r="AP28" i="1" s="1"/>
  <c r="AY28" i="1" s="1"/>
  <c r="AQ26" i="1"/>
  <c r="AP26" i="1" s="1"/>
  <c r="AY26" i="1" s="1"/>
  <c r="AQ24" i="1"/>
  <c r="AP24" i="1" s="1"/>
  <c r="AY24" i="1" s="1"/>
  <c r="AQ21" i="1"/>
  <c r="AP21" i="1" s="1"/>
  <c r="AY21" i="1" s="1"/>
  <c r="AQ16" i="1"/>
  <c r="AP16" i="1" s="1"/>
  <c r="AY16" i="1" s="1"/>
  <c r="AQ18" i="1"/>
  <c r="AP18" i="1" s="1"/>
  <c r="AY18" i="1" s="1"/>
  <c r="AQ251" i="1"/>
  <c r="AZ251" i="1" s="1"/>
  <c r="AQ249" i="1"/>
  <c r="AZ249" i="1" s="1"/>
  <c r="AQ247" i="1"/>
  <c r="AZ247" i="1" s="1"/>
  <c r="AQ245" i="1"/>
  <c r="AZ245" i="1" s="1"/>
  <c r="AQ243" i="1"/>
  <c r="AZ243" i="1" s="1"/>
  <c r="AQ241" i="1"/>
  <c r="AZ241" i="1" s="1"/>
  <c r="AQ239" i="1"/>
  <c r="AZ239" i="1" s="1"/>
  <c r="AQ237" i="1"/>
  <c r="AZ237" i="1" s="1"/>
  <c r="AQ235" i="1"/>
  <c r="AZ235" i="1" s="1"/>
  <c r="AQ233" i="1"/>
  <c r="AZ233" i="1" s="1"/>
  <c r="AQ229" i="1"/>
  <c r="AP229" i="1" s="1"/>
  <c r="AY229" i="1" s="1"/>
  <c r="AQ227" i="1"/>
  <c r="AZ227" i="1" s="1"/>
  <c r="AQ225" i="1"/>
  <c r="AP225" i="1" s="1"/>
  <c r="AY225" i="1" s="1"/>
  <c r="AQ223" i="1"/>
  <c r="AZ223" i="1" s="1"/>
  <c r="AQ221" i="1"/>
  <c r="AP221" i="1" s="1"/>
  <c r="AY221" i="1" s="1"/>
  <c r="AQ201" i="1"/>
  <c r="AP201" i="1" s="1"/>
  <c r="AY201" i="1" s="1"/>
  <c r="AQ199" i="1"/>
  <c r="AZ199" i="1" s="1"/>
  <c r="AQ214" i="1"/>
  <c r="AZ214" i="1" s="1"/>
  <c r="AQ196" i="1"/>
  <c r="AZ196" i="1" s="1"/>
  <c r="AQ194" i="1"/>
  <c r="AZ194" i="1" s="1"/>
  <c r="AQ192" i="1"/>
  <c r="AZ192" i="1" s="1"/>
  <c r="AQ212" i="1"/>
  <c r="AZ212" i="1" s="1"/>
  <c r="AQ210" i="1"/>
  <c r="AZ210" i="1" s="1"/>
  <c r="AQ208" i="1"/>
  <c r="AZ208" i="1" s="1"/>
  <c r="AQ205" i="1"/>
  <c r="AP205" i="1" s="1"/>
  <c r="AY205" i="1" s="1"/>
  <c r="AQ203" i="1"/>
  <c r="AZ203" i="1" s="1"/>
  <c r="AQ175" i="1"/>
  <c r="AZ175" i="1" s="1"/>
  <c r="AQ183" i="1"/>
  <c r="AZ183" i="1" s="1"/>
  <c r="AQ173" i="1"/>
  <c r="AP173" i="1" s="1"/>
  <c r="AY173" i="1" s="1"/>
  <c r="AQ181" i="1"/>
  <c r="AP181" i="1" s="1"/>
  <c r="AY181" i="1" s="1"/>
  <c r="AQ179" i="1"/>
  <c r="AZ179" i="1" s="1"/>
  <c r="AQ171" i="1"/>
  <c r="AZ171" i="1" s="1"/>
  <c r="AQ169" i="1"/>
  <c r="AP169" i="1" s="1"/>
  <c r="AY169" i="1" s="1"/>
  <c r="AQ167" i="1"/>
  <c r="AZ167" i="1" s="1"/>
  <c r="AQ163" i="1"/>
  <c r="AZ163" i="1" s="1"/>
  <c r="AQ161" i="1"/>
  <c r="AP161" i="1" s="1"/>
  <c r="AY161" i="1" s="1"/>
  <c r="AQ159" i="1"/>
  <c r="AZ159" i="1" s="1"/>
  <c r="AQ157" i="1"/>
  <c r="AP157" i="1" s="1"/>
  <c r="AY157" i="1" s="1"/>
  <c r="AQ155" i="1"/>
  <c r="AZ155" i="1" s="1"/>
  <c r="AQ153" i="1"/>
  <c r="AP153" i="1" s="1"/>
  <c r="AY153" i="1" s="1"/>
  <c r="AQ151" i="1"/>
  <c r="AZ151" i="1" s="1"/>
  <c r="AQ149" i="1"/>
  <c r="AP149" i="1" s="1"/>
  <c r="AY149" i="1" s="1"/>
  <c r="AQ147" i="1"/>
  <c r="AZ147" i="1" s="1"/>
  <c r="AQ145" i="1"/>
  <c r="AP145" i="1" s="1"/>
  <c r="AY145" i="1" s="1"/>
  <c r="AQ143" i="1"/>
  <c r="AZ143" i="1" s="1"/>
  <c r="AQ141" i="1"/>
  <c r="AP141" i="1" s="1"/>
  <c r="AY141" i="1" s="1"/>
  <c r="AQ139" i="1"/>
  <c r="AZ139" i="1" s="1"/>
  <c r="AQ137" i="1"/>
  <c r="AP137" i="1" s="1"/>
  <c r="AY137" i="1" s="1"/>
  <c r="AQ134" i="1"/>
  <c r="AZ134" i="1" s="1"/>
  <c r="AQ132" i="1"/>
  <c r="AZ132" i="1" s="1"/>
  <c r="AQ129" i="1"/>
  <c r="AP129" i="1" s="1"/>
  <c r="AY129" i="1" s="1"/>
  <c r="AQ126" i="1"/>
  <c r="AZ126" i="1" s="1"/>
  <c r="AQ124" i="1"/>
  <c r="AZ124" i="1" s="1"/>
  <c r="AQ122" i="1"/>
  <c r="AZ122" i="1" s="1"/>
  <c r="AQ120" i="1"/>
  <c r="AZ120" i="1" s="1"/>
  <c r="AQ116" i="1"/>
  <c r="AZ116" i="1" s="1"/>
  <c r="AQ114" i="1"/>
  <c r="AZ114" i="1" s="1"/>
  <c r="AQ112" i="1"/>
  <c r="AZ112" i="1" s="1"/>
  <c r="AQ107" i="1"/>
  <c r="AZ107" i="1" s="1"/>
  <c r="AQ103" i="1"/>
  <c r="AZ103" i="1" s="1"/>
  <c r="AQ101" i="1"/>
  <c r="AZ101" i="1" s="1"/>
  <c r="AQ98" i="1"/>
  <c r="AZ98" i="1" s="1"/>
  <c r="AQ96" i="1"/>
  <c r="AP96" i="1" s="1"/>
  <c r="AY96" i="1" s="1"/>
  <c r="AQ94" i="1"/>
  <c r="AZ94" i="1" s="1"/>
  <c r="AQ92" i="1"/>
  <c r="AP92" i="1" s="1"/>
  <c r="AY92" i="1" s="1"/>
  <c r="AQ90" i="1"/>
  <c r="AZ90" i="1" s="1"/>
  <c r="AQ88" i="1"/>
  <c r="AP88" i="1" s="1"/>
  <c r="AY88" i="1" s="1"/>
  <c r="AQ86" i="1"/>
  <c r="AZ86" i="1" s="1"/>
  <c r="AP85" i="1"/>
  <c r="AY85" i="1" s="1"/>
  <c r="AZ85" i="1"/>
  <c r="AQ254" i="1"/>
  <c r="AP254" i="1" s="1"/>
  <c r="AY254" i="1" s="1"/>
  <c r="AQ252" i="1"/>
  <c r="AP252" i="1" s="1"/>
  <c r="AY252" i="1" s="1"/>
  <c r="AQ250" i="1"/>
  <c r="AP250" i="1" s="1"/>
  <c r="AY250" i="1" s="1"/>
  <c r="AQ248" i="1"/>
  <c r="AP248" i="1" s="1"/>
  <c r="AY248" i="1" s="1"/>
  <c r="AQ246" i="1"/>
  <c r="AP246" i="1" s="1"/>
  <c r="AY246" i="1" s="1"/>
  <c r="AQ244" i="1"/>
  <c r="AP244" i="1" s="1"/>
  <c r="AY244" i="1" s="1"/>
  <c r="AQ242" i="1"/>
  <c r="AP242" i="1" s="1"/>
  <c r="AY242" i="1" s="1"/>
  <c r="AQ240" i="1"/>
  <c r="AP240" i="1" s="1"/>
  <c r="AY240" i="1" s="1"/>
  <c r="AQ238" i="1"/>
  <c r="AP238" i="1" s="1"/>
  <c r="AY238" i="1" s="1"/>
  <c r="AQ236" i="1"/>
  <c r="AP236" i="1" s="1"/>
  <c r="AY236" i="1" s="1"/>
  <c r="AQ234" i="1"/>
  <c r="AP234" i="1" s="1"/>
  <c r="AY234" i="1" s="1"/>
  <c r="AQ232" i="1"/>
  <c r="AP232" i="1" s="1"/>
  <c r="AY232" i="1" s="1"/>
  <c r="AQ228" i="1"/>
  <c r="AP228" i="1" s="1"/>
  <c r="AY228" i="1" s="1"/>
  <c r="AQ226" i="1"/>
  <c r="AZ226" i="1" s="1"/>
  <c r="AQ224" i="1"/>
  <c r="AP224" i="1" s="1"/>
  <c r="AY224" i="1" s="1"/>
  <c r="AQ222" i="1"/>
  <c r="AZ222" i="1" s="1"/>
  <c r="AQ200" i="1"/>
  <c r="AZ200" i="1" s="1"/>
  <c r="AQ189" i="1"/>
  <c r="AP189" i="1" s="1"/>
  <c r="AY189" i="1" s="1"/>
  <c r="AQ197" i="1"/>
  <c r="AP197" i="1" s="1"/>
  <c r="AY197" i="1" s="1"/>
  <c r="AQ195" i="1"/>
  <c r="AZ195" i="1" s="1"/>
  <c r="AQ193" i="1"/>
  <c r="AP193" i="1" s="1"/>
  <c r="AY193" i="1" s="1"/>
  <c r="AQ213" i="1"/>
  <c r="AP213" i="1" s="1"/>
  <c r="AY213" i="1" s="1"/>
  <c r="AQ206" i="1"/>
  <c r="AZ206" i="1" s="1"/>
  <c r="AQ209" i="1"/>
  <c r="AP209" i="1" s="1"/>
  <c r="AY209" i="1" s="1"/>
  <c r="AQ190" i="1"/>
  <c r="AZ190" i="1" s="1"/>
  <c r="AQ204" i="1"/>
  <c r="AZ204" i="1" s="1"/>
  <c r="AQ187" i="1"/>
  <c r="AZ187" i="1" s="1"/>
  <c r="AQ184" i="1"/>
  <c r="AZ184" i="1" s="1"/>
  <c r="AQ174" i="1"/>
  <c r="AZ174" i="1" s="1"/>
  <c r="AQ182" i="1"/>
  <c r="AZ182" i="1" s="1"/>
  <c r="AQ180" i="1"/>
  <c r="AZ180" i="1" s="1"/>
  <c r="AQ178" i="1"/>
  <c r="AZ178" i="1" s="1"/>
  <c r="AQ170" i="1"/>
  <c r="AZ170" i="1" s="1"/>
  <c r="AQ168" i="1"/>
  <c r="AZ168" i="1" s="1"/>
  <c r="AQ166" i="1"/>
  <c r="AZ166" i="1" s="1"/>
  <c r="AQ162" i="1"/>
  <c r="AZ162" i="1" s="1"/>
  <c r="AQ160" i="1"/>
  <c r="AZ160" i="1" s="1"/>
  <c r="AQ158" i="1"/>
  <c r="AZ158" i="1" s="1"/>
  <c r="AQ156" i="1"/>
  <c r="AZ156" i="1" s="1"/>
  <c r="AQ154" i="1"/>
  <c r="AZ154" i="1" s="1"/>
  <c r="AQ152" i="1"/>
  <c r="AZ152" i="1" s="1"/>
  <c r="AQ150" i="1"/>
  <c r="AZ150" i="1" s="1"/>
  <c r="AQ148" i="1"/>
  <c r="AZ148" i="1" s="1"/>
  <c r="AQ146" i="1"/>
  <c r="AZ146" i="1" s="1"/>
  <c r="AQ144" i="1"/>
  <c r="AZ144" i="1" s="1"/>
  <c r="AQ142" i="1"/>
  <c r="AZ142" i="1" s="1"/>
  <c r="AQ140" i="1"/>
  <c r="AZ140" i="1" s="1"/>
  <c r="AQ138" i="1"/>
  <c r="AZ138" i="1" s="1"/>
  <c r="AQ136" i="1"/>
  <c r="AZ136" i="1" s="1"/>
  <c r="AQ133" i="1"/>
  <c r="AP133" i="1" s="1"/>
  <c r="AY133" i="1" s="1"/>
  <c r="AQ130" i="1"/>
  <c r="AZ130" i="1" s="1"/>
  <c r="AQ128" i="1"/>
  <c r="AZ128" i="1" s="1"/>
  <c r="AQ125" i="1"/>
  <c r="AP125" i="1" s="1"/>
  <c r="AY125" i="1" s="1"/>
  <c r="AQ123" i="1"/>
  <c r="AZ123" i="1" s="1"/>
  <c r="AQ121" i="1"/>
  <c r="AP121" i="1" s="1"/>
  <c r="AY121" i="1" s="1"/>
  <c r="AQ117" i="1"/>
  <c r="AP117" i="1" s="1"/>
  <c r="AY117" i="1" s="1"/>
  <c r="AQ115" i="1"/>
  <c r="AZ115" i="1" s="1"/>
  <c r="AQ113" i="1"/>
  <c r="AP113" i="1" s="1"/>
  <c r="AY113" i="1" s="1"/>
  <c r="AQ110" i="1"/>
  <c r="AZ110" i="1" s="1"/>
  <c r="AQ104" i="1"/>
  <c r="AP104" i="1" s="1"/>
  <c r="AY104" i="1" s="1"/>
  <c r="AQ102" i="1"/>
  <c r="AZ102" i="1" s="1"/>
  <c r="AQ100" i="1"/>
  <c r="AP100" i="1" s="1"/>
  <c r="AY100" i="1" s="1"/>
  <c r="AQ97" i="1"/>
  <c r="AZ97" i="1" s="1"/>
  <c r="AQ95" i="1"/>
  <c r="AZ95" i="1" s="1"/>
  <c r="AQ93" i="1"/>
  <c r="AZ93" i="1" s="1"/>
  <c r="AQ91" i="1"/>
  <c r="AZ91" i="1" s="1"/>
  <c r="AQ89" i="1"/>
  <c r="AZ89" i="1" s="1"/>
  <c r="AQ87" i="1"/>
  <c r="AZ87" i="1" s="1"/>
  <c r="AQ81" i="1"/>
  <c r="AZ81" i="1" s="1"/>
  <c r="AQ76" i="1"/>
  <c r="AP76" i="1" s="1"/>
  <c r="AY76" i="1" s="1"/>
  <c r="AQ74" i="1"/>
  <c r="AZ74" i="1" s="1"/>
  <c r="AQ72" i="1"/>
  <c r="AP72" i="1" s="1"/>
  <c r="AY72" i="1" s="1"/>
  <c r="AQ58" i="1"/>
  <c r="AZ58" i="1" s="1"/>
  <c r="AQ68" i="1"/>
  <c r="AP68" i="1" s="1"/>
  <c r="AY68" i="1" s="1"/>
  <c r="AQ66" i="1"/>
  <c r="AZ66" i="1" s="1"/>
  <c r="AQ64" i="1"/>
  <c r="AP64" i="1" s="1"/>
  <c r="AY64" i="1" s="1"/>
  <c r="AQ56" i="1"/>
  <c r="AP56" i="1" s="1"/>
  <c r="AY56" i="1" s="1"/>
  <c r="AQ61" i="1"/>
  <c r="AZ61" i="1" s="1"/>
  <c r="AQ54" i="1"/>
  <c r="AZ54" i="1" s="1"/>
  <c r="AQ51" i="1"/>
  <c r="AZ51" i="1" s="1"/>
  <c r="AQ49" i="1"/>
  <c r="AZ49" i="1" s="1"/>
  <c r="AQ220" i="1"/>
  <c r="AZ220" i="1" s="1"/>
  <c r="AQ42" i="1"/>
  <c r="AZ42" i="1" s="1"/>
  <c r="AQ40" i="1"/>
  <c r="AP40" i="1" s="1"/>
  <c r="AY40" i="1" s="1"/>
  <c r="AQ38" i="1"/>
  <c r="AZ38" i="1" s="1"/>
  <c r="AQ36" i="1"/>
  <c r="AP36" i="1" s="1"/>
  <c r="AY36" i="1" s="1"/>
  <c r="AQ34" i="1"/>
  <c r="AZ34" i="1" s="1"/>
  <c r="AQ32" i="1"/>
  <c r="AP32" i="1" s="1"/>
  <c r="AY32" i="1" s="1"/>
  <c r="AQ29" i="1"/>
  <c r="AZ29" i="1" s="1"/>
  <c r="AQ27" i="1"/>
  <c r="AZ27" i="1" s="1"/>
  <c r="AQ25" i="1"/>
  <c r="AZ25" i="1" s="1"/>
  <c r="AQ22" i="1"/>
  <c r="AZ22" i="1" s="1"/>
  <c r="AQ20" i="1"/>
  <c r="AP20" i="1" s="1"/>
  <c r="AY20" i="1" s="1"/>
  <c r="AQ17" i="1"/>
  <c r="AZ17" i="1" s="1"/>
  <c r="AP200" i="1"/>
  <c r="AY200" i="1" s="1"/>
  <c r="AQ14" i="1"/>
  <c r="AP134" i="1"/>
  <c r="AY134" i="1" s="1"/>
  <c r="AP245" i="1" l="1"/>
  <c r="AY245" i="1" s="1"/>
  <c r="AP175" i="1"/>
  <c r="AY175" i="1" s="1"/>
  <c r="AP73" i="1"/>
  <c r="AY73" i="1" s="1"/>
  <c r="AZ149" i="1"/>
  <c r="AP243" i="1"/>
  <c r="AY243" i="1" s="1"/>
  <c r="AP194" i="1"/>
  <c r="AY194" i="1" s="1"/>
  <c r="AZ104" i="1"/>
  <c r="AP142" i="1"/>
  <c r="AY142" i="1" s="1"/>
  <c r="AP91" i="1"/>
  <c r="AY91" i="1" s="1"/>
  <c r="AP158" i="1"/>
  <c r="AY158" i="1" s="1"/>
  <c r="AP107" i="1"/>
  <c r="AY107" i="1" s="1"/>
  <c r="AZ40" i="1"/>
  <c r="AP182" i="1"/>
  <c r="AY182" i="1" s="1"/>
  <c r="AZ129" i="1"/>
  <c r="AP90" i="1"/>
  <c r="AY90" i="1" s="1"/>
  <c r="AZ76" i="1"/>
  <c r="AP226" i="1"/>
  <c r="AY226" i="1" s="1"/>
  <c r="AZ209" i="1"/>
  <c r="AP167" i="1"/>
  <c r="AY167" i="1" s="1"/>
  <c r="AP150" i="1"/>
  <c r="AY150" i="1" s="1"/>
  <c r="AZ133" i="1"/>
  <c r="AP120" i="1"/>
  <c r="AY120" i="1" s="1"/>
  <c r="AZ117" i="1"/>
  <c r="AP112" i="1"/>
  <c r="AY112" i="1" s="1"/>
  <c r="AZ65" i="1"/>
  <c r="AZ35" i="1"/>
  <c r="AP59" i="1"/>
  <c r="AY59" i="1" s="1"/>
  <c r="AZ32" i="1"/>
  <c r="AP220" i="1"/>
  <c r="AY220" i="1" s="1"/>
  <c r="AP87" i="1"/>
  <c r="AY87" i="1" s="1"/>
  <c r="AP95" i="1"/>
  <c r="AY95" i="1" s="1"/>
  <c r="AZ113" i="1"/>
  <c r="AP128" i="1"/>
  <c r="AY128" i="1" s="1"/>
  <c r="AP138" i="1"/>
  <c r="AY138" i="1" s="1"/>
  <c r="AP146" i="1"/>
  <c r="AY146" i="1" s="1"/>
  <c r="AP154" i="1"/>
  <c r="AY154" i="1" s="1"/>
  <c r="AP162" i="1"/>
  <c r="AY162" i="1" s="1"/>
  <c r="AP184" i="1"/>
  <c r="AY184" i="1" s="1"/>
  <c r="AZ26" i="1"/>
  <c r="AZ55" i="1"/>
  <c r="AP98" i="1"/>
  <c r="AY98" i="1" s="1"/>
  <c r="AZ141" i="1"/>
  <c r="AZ157" i="1"/>
  <c r="AZ181" i="1"/>
  <c r="AP227" i="1"/>
  <c r="AY227" i="1" s="1"/>
  <c r="AZ244" i="1"/>
  <c r="AZ238" i="1"/>
  <c r="AZ205" i="1"/>
  <c r="AP163" i="1"/>
  <c r="AY163" i="1" s="1"/>
  <c r="AZ125" i="1"/>
  <c r="AZ100" i="1"/>
  <c r="AP22" i="1"/>
  <c r="AY22" i="1" s="1"/>
  <c r="AP27" i="1"/>
  <c r="AY27" i="1" s="1"/>
  <c r="AP210" i="1"/>
  <c r="AY210" i="1" s="1"/>
  <c r="AP178" i="1"/>
  <c r="AY178" i="1" s="1"/>
  <c r="AP166" i="1"/>
  <c r="AY166" i="1" s="1"/>
  <c r="AZ72" i="1"/>
  <c r="AZ75" i="1"/>
  <c r="AZ67" i="1"/>
  <c r="AP46" i="1"/>
  <c r="AY46" i="1" s="1"/>
  <c r="AZ254" i="1"/>
  <c r="AZ229" i="1"/>
  <c r="AP203" i="1"/>
  <c r="AY203" i="1" s="1"/>
  <c r="AP192" i="1"/>
  <c r="AY192" i="1" s="1"/>
  <c r="AZ169" i="1"/>
  <c r="AP61" i="1"/>
  <c r="AY61" i="1" s="1"/>
  <c r="AZ36" i="1"/>
  <c r="AP44" i="1"/>
  <c r="AY44" i="1" s="1"/>
  <c r="AZ221" i="1"/>
  <c r="AZ228" i="1"/>
  <c r="AZ213" i="1"/>
  <c r="AP199" i="1"/>
  <c r="AY199" i="1" s="1"/>
  <c r="AP195" i="1"/>
  <c r="AY195" i="1" s="1"/>
  <c r="AZ189" i="1"/>
  <c r="AP187" i="1"/>
  <c r="AY187" i="1" s="1"/>
  <c r="AZ173" i="1"/>
  <c r="AP168" i="1"/>
  <c r="AY168" i="1" s="1"/>
  <c r="AP147" i="1"/>
  <c r="AY147" i="1" s="1"/>
  <c r="AP123" i="1"/>
  <c r="AY123" i="1" s="1"/>
  <c r="AZ88" i="1"/>
  <c r="AZ68" i="1"/>
  <c r="AP235" i="1"/>
  <c r="AY235" i="1" s="1"/>
  <c r="AP251" i="1"/>
  <c r="AY251" i="1" s="1"/>
  <c r="AZ246" i="1"/>
  <c r="AP204" i="1"/>
  <c r="AY204" i="1" s="1"/>
  <c r="AP179" i="1"/>
  <c r="AY179" i="1" s="1"/>
  <c r="AP139" i="1"/>
  <c r="AY139" i="1" s="1"/>
  <c r="AP155" i="1"/>
  <c r="AY155" i="1" s="1"/>
  <c r="AP148" i="1"/>
  <c r="AY148" i="1" s="1"/>
  <c r="AP132" i="1"/>
  <c r="AY132" i="1" s="1"/>
  <c r="AP124" i="1"/>
  <c r="AY124" i="1" s="1"/>
  <c r="AP114" i="1"/>
  <c r="AY114" i="1" s="1"/>
  <c r="AZ96" i="1"/>
  <c r="AP81" i="1"/>
  <c r="AY81" i="1" s="1"/>
  <c r="AZ64" i="1"/>
  <c r="AP37" i="1"/>
  <c r="AY37" i="1" s="1"/>
  <c r="AZ28" i="1"/>
  <c r="AZ16" i="1"/>
  <c r="AP239" i="1"/>
  <c r="AY239" i="1" s="1"/>
  <c r="AP247" i="1"/>
  <c r="AY247" i="1" s="1"/>
  <c r="AZ234" i="1"/>
  <c r="AZ242" i="1"/>
  <c r="AZ250" i="1"/>
  <c r="AZ225" i="1"/>
  <c r="AZ224" i="1"/>
  <c r="AP196" i="1"/>
  <c r="AY196" i="1" s="1"/>
  <c r="AZ193" i="1"/>
  <c r="AP180" i="1"/>
  <c r="AY180" i="1" s="1"/>
  <c r="AP143" i="1"/>
  <c r="AY143" i="1" s="1"/>
  <c r="AP151" i="1"/>
  <c r="AY151" i="1" s="1"/>
  <c r="AP159" i="1"/>
  <c r="AY159" i="1" s="1"/>
  <c r="AP140" i="1"/>
  <c r="AY140" i="1" s="1"/>
  <c r="AP156" i="1"/>
  <c r="AY156" i="1" s="1"/>
  <c r="AP122" i="1"/>
  <c r="AY122" i="1" s="1"/>
  <c r="AP101" i="1"/>
  <c r="AY101" i="1" s="1"/>
  <c r="AP102" i="1"/>
  <c r="AY102" i="1" s="1"/>
  <c r="AZ92" i="1"/>
  <c r="AP77" i="1"/>
  <c r="AY77" i="1" s="1"/>
  <c r="AP62" i="1"/>
  <c r="AY62" i="1" s="1"/>
  <c r="AP53" i="1"/>
  <c r="AY53" i="1" s="1"/>
  <c r="AZ57" i="1"/>
  <c r="AP51" i="1"/>
  <c r="AY51" i="1" s="1"/>
  <c r="AP49" i="1"/>
  <c r="AY49" i="1" s="1"/>
  <c r="AP33" i="1"/>
  <c r="AY33" i="1" s="1"/>
  <c r="AP41" i="1"/>
  <c r="AY41" i="1" s="1"/>
  <c r="AZ24" i="1"/>
  <c r="AP17" i="1"/>
  <c r="AY17" i="1" s="1"/>
  <c r="AP29" i="1"/>
  <c r="AY29" i="1" s="1"/>
  <c r="AP58" i="1"/>
  <c r="AY58" i="1" s="1"/>
  <c r="AP93" i="1"/>
  <c r="AY93" i="1" s="1"/>
  <c r="AP115" i="1"/>
  <c r="AY115" i="1" s="1"/>
  <c r="AP136" i="1"/>
  <c r="AY136" i="1" s="1"/>
  <c r="AP144" i="1"/>
  <c r="AY144" i="1" s="1"/>
  <c r="AP152" i="1"/>
  <c r="AY152" i="1" s="1"/>
  <c r="AP160" i="1"/>
  <c r="AY160" i="1" s="1"/>
  <c r="AP170" i="1"/>
  <c r="AY170" i="1" s="1"/>
  <c r="AP174" i="1"/>
  <c r="AY174" i="1" s="1"/>
  <c r="AP190" i="1"/>
  <c r="AY190" i="1" s="1"/>
  <c r="AZ197" i="1"/>
  <c r="AZ21" i="1"/>
  <c r="AZ31" i="1"/>
  <c r="AZ39" i="1"/>
  <c r="AZ50" i="1"/>
  <c r="AZ71" i="1"/>
  <c r="AP86" i="1"/>
  <c r="AY86" i="1" s="1"/>
  <c r="AP94" i="1"/>
  <c r="AY94" i="1" s="1"/>
  <c r="AP103" i="1"/>
  <c r="AY103" i="1" s="1"/>
  <c r="AP116" i="1"/>
  <c r="AY116" i="1" s="1"/>
  <c r="AP126" i="1"/>
  <c r="AY126" i="1" s="1"/>
  <c r="AZ137" i="1"/>
  <c r="AZ145" i="1"/>
  <c r="AZ153" i="1"/>
  <c r="AZ161" i="1"/>
  <c r="AP171" i="1"/>
  <c r="AY171" i="1" s="1"/>
  <c r="AP183" i="1"/>
  <c r="AY183" i="1" s="1"/>
  <c r="AP208" i="1"/>
  <c r="AY208" i="1" s="1"/>
  <c r="AZ201" i="1"/>
  <c r="AP237" i="1"/>
  <c r="AY237" i="1" s="1"/>
  <c r="AZ253" i="1"/>
  <c r="AZ236" i="1"/>
  <c r="AZ252" i="1"/>
  <c r="AZ18" i="1"/>
  <c r="AP212" i="1"/>
  <c r="AY212" i="1" s="1"/>
  <c r="AP214" i="1"/>
  <c r="AY214" i="1" s="1"/>
  <c r="AP223" i="1"/>
  <c r="AY223" i="1" s="1"/>
  <c r="AP233" i="1"/>
  <c r="AY233" i="1" s="1"/>
  <c r="AP241" i="1"/>
  <c r="AY241" i="1" s="1"/>
  <c r="AP249" i="1"/>
  <c r="AY249" i="1" s="1"/>
  <c r="AP38" i="1"/>
  <c r="AY38" i="1" s="1"/>
  <c r="AZ56" i="1"/>
  <c r="AP206" i="1"/>
  <c r="AY206" i="1" s="1"/>
  <c r="AP222" i="1"/>
  <c r="AY222" i="1" s="1"/>
  <c r="AZ232" i="1"/>
  <c r="AZ240" i="1"/>
  <c r="AZ248" i="1"/>
  <c r="AZ20" i="1"/>
  <c r="AP34" i="1"/>
  <c r="AY34" i="1" s="1"/>
  <c r="AP42" i="1"/>
  <c r="AY42" i="1" s="1"/>
  <c r="AP54" i="1"/>
  <c r="AY54" i="1" s="1"/>
  <c r="AP66" i="1"/>
  <c r="AY66" i="1" s="1"/>
  <c r="AP74" i="1"/>
  <c r="AY74" i="1" s="1"/>
  <c r="AP89" i="1"/>
  <c r="AY89" i="1" s="1"/>
  <c r="AP97" i="1"/>
  <c r="AY97" i="1" s="1"/>
  <c r="AP110" i="1"/>
  <c r="AY110" i="1" s="1"/>
  <c r="AZ121" i="1"/>
  <c r="AP130" i="1"/>
  <c r="AY130" i="1" s="1"/>
  <c r="AP25" i="1"/>
  <c r="AY25" i="1" s="1"/>
  <c r="AZ14" i="1"/>
  <c r="AP14" i="1"/>
  <c r="AY14" i="1" s="1"/>
  <c r="AU13" i="1"/>
  <c r="AW13" i="1" s="1"/>
  <c r="AK13" i="1"/>
  <c r="AI13" i="1"/>
  <c r="AG13" i="1"/>
  <c r="AE13" i="1"/>
  <c r="AA13" i="1"/>
  <c r="Y13" i="1"/>
  <c r="W13" i="1"/>
  <c r="U13" i="1"/>
  <c r="U259" i="1" s="1"/>
  <c r="S13" i="1"/>
  <c r="Q13" i="1"/>
  <c r="Q259" i="1" s="1"/>
  <c r="O13" i="1"/>
  <c r="I13" i="1"/>
  <c r="AC13" i="1" l="1"/>
  <c r="AQ13" i="1" l="1"/>
  <c r="AQ259" i="1" s="1"/>
  <c r="AZ13" i="1" l="1"/>
  <c r="AZ259" i="1" s="1"/>
  <c r="AP13" i="1"/>
  <c r="AP259" i="1" s="1"/>
  <c r="AY13" i="1" l="1"/>
  <c r="AY259" i="1" s="1"/>
</calcChain>
</file>

<file path=xl/comments1.xml><?xml version="1.0" encoding="utf-8"?>
<comments xmlns="http://schemas.openxmlformats.org/spreadsheetml/2006/main">
  <authors>
    <author>Данилова Светлана Радиковна</author>
  </authors>
  <commentList>
    <comment ref="B220" authorId="0" shapeId="0">
      <text>
        <r>
          <rPr>
            <b/>
            <sz val="9"/>
            <color indexed="81"/>
            <rFont val="Tahoma"/>
            <family val="2"/>
            <charset val="204"/>
          </rPr>
          <t>Данилова Светлана Радиковна:</t>
        </r>
        <r>
          <rPr>
            <sz val="9"/>
            <color indexed="81"/>
            <rFont val="Tahoma"/>
            <family val="2"/>
            <charset val="204"/>
          </rPr>
          <t xml:space="preserve">
какой гцтэт?</t>
        </r>
      </text>
    </comment>
  </commentList>
</comments>
</file>

<file path=xl/sharedStrings.xml><?xml version="1.0" encoding="utf-8"?>
<sst xmlns="http://schemas.openxmlformats.org/spreadsheetml/2006/main" count="966" uniqueCount="330">
  <si>
    <t>Характеристика убираемых внутренних помещений</t>
  </si>
  <si>
    <t>Характеристика убираемых прилегающих территорий (кв.м.)</t>
  </si>
  <si>
    <t>Общая убираемая площадь помещений объекта  (кв.м.)</t>
  </si>
  <si>
    <t>Типы помещений объекта (кв.м.)</t>
  </si>
  <si>
    <t>№ п/п</t>
  </si>
  <si>
    <t>Наименование объекта</t>
  </si>
  <si>
    <t xml:space="preserve">Объект предоставления услуг </t>
  </si>
  <si>
    <t>Офисные помещения (кв.м)</t>
  </si>
  <si>
    <t>Технологические помещения связи (кв.м)</t>
  </si>
  <si>
    <t>Помещения коммерческого назначения (точки продаж) (кв.м)</t>
  </si>
  <si>
    <t>Складские помещения (кв.м)</t>
  </si>
  <si>
    <t>Помещения вспомогательного назначения (кв.м)</t>
  </si>
  <si>
    <t>Помещения гаража (кв.м)</t>
  </si>
  <si>
    <t>Места общего пользования (кв.м)</t>
  </si>
  <si>
    <t>С/У (туалетные комнаты) (кв.м)</t>
  </si>
  <si>
    <t>Требуемая  периодичность</t>
  </si>
  <si>
    <t>Административно- производственное здание (АТС)</t>
  </si>
  <si>
    <t>Гаражное помещение</t>
  </si>
  <si>
    <t>Здание АТС</t>
  </si>
  <si>
    <t>прочие</t>
  </si>
  <si>
    <t>Расчётно-сервисный центр</t>
  </si>
  <si>
    <t>Районный узел электросвязи</t>
  </si>
  <si>
    <t>*ИТОГО, стоимость услуг по объекту в месяц, с НДС (руб.)</t>
  </si>
  <si>
    <t>*ИТОГО, стоимость услуг по объекту в месяц, без НДС (руб.)</t>
  </si>
  <si>
    <t>*Стоимость кв.м в месяц без НДС (руб.)</t>
  </si>
  <si>
    <t>*Стоимость кв. м в месяц с НДС (руб.)</t>
  </si>
  <si>
    <t>*Стоимость услуг (уборка прилегающих территорий) в месяц, с НДС (руб.)</t>
  </si>
  <si>
    <t>*Стоимость услуг (уборка внутренних помещений) в месяц, без НДС (руб.)</t>
  </si>
  <si>
    <t>*Стоимость услуг (уборка внутренних помещений) в месяц, с НДС (руб.)</t>
  </si>
  <si>
    <t>*Общая стоимость услуг с НДС (руб.)</t>
  </si>
  <si>
    <t>9=8*6</t>
  </si>
  <si>
    <t>33=32*30</t>
  </si>
  <si>
    <t>Общая Убираемая площадь территории (кв.м)</t>
  </si>
  <si>
    <t>В том числе Обслуживаемая площадь газонов, (кв.м)</t>
  </si>
  <si>
    <t xml:space="preserve">АДРЕСА ЗДАНИЙ, ПЛОЩАДИ И СТОИМОСТЬ ОКАЗАНИЯ УСЛУГ ПО КОМПЛЕКСНОЙ УБОРКЕ ОБЪЕКТОВ  </t>
  </si>
  <si>
    <t>Республика Башкортостан, г.Уфа, ул.Ахметова 316/3</t>
  </si>
  <si>
    <t>Республика Башкортостан, г.Уфа, ул.Вологодская, 150</t>
  </si>
  <si>
    <t>Республика Башкортостан, г.Уфа, ул.Гагарина, 39/2</t>
  </si>
  <si>
    <t>Республика Башкортостан, г.Уфа, ул.Кирова, 105</t>
  </si>
  <si>
    <t>Республика Башкортостан, г.Уфа, ул.Победы, 21/1</t>
  </si>
  <si>
    <t>Республика Башкортостан, г.Уфа, ул.Правды, 17</t>
  </si>
  <si>
    <t>Республика Башкортостан, г.Уфа, ул.Рабкоров 6/1</t>
  </si>
  <si>
    <t>Республика Башкортостан, г.Уфа, ул.Российская, 19</t>
  </si>
  <si>
    <t>Республика Башкортостан, г.Уфа, ул.Ст. Халтурина, 30</t>
  </si>
  <si>
    <t>Республика Башкортостан, г.Уфа, ул.Т. Янаби 32/1</t>
  </si>
  <si>
    <t>г. Уфа</t>
  </si>
  <si>
    <t xml:space="preserve">Бирский МЦТЭТ </t>
  </si>
  <si>
    <t>Республика Башкортостан, г.Уфа, ул.Гоголя, 59</t>
  </si>
  <si>
    <t>Республика Башкортостан, г.Уфа, ул.Российская, 163/1а</t>
  </si>
  <si>
    <t>Республика Башкортостан, г.Уфа, ул.Айская, 69/2</t>
  </si>
  <si>
    <t>Цех ТВ и РВ</t>
  </si>
  <si>
    <t>Республика Башкортостан, г.Уфа, ул.Гафури, 9</t>
  </si>
  <si>
    <t>пос. АМЗЯ, ул. Свердлова 12в</t>
  </si>
  <si>
    <t>с. Николо-Березовка,ул.К.Маркса 7  3 этаж</t>
  </si>
  <si>
    <t>Цех электросвязи г. Межгорье</t>
  </si>
  <si>
    <t>Мелеузовский МЦТЭТ</t>
  </si>
  <si>
    <t>Белорецкий МЦТЭТ -центр</t>
  </si>
  <si>
    <t xml:space="preserve">Мелеузовский МЦТЭТ -центр  </t>
  </si>
  <si>
    <t>Месягутовский МЦТЭТ</t>
  </si>
  <si>
    <t>Сибайский МЦТЭТ</t>
  </si>
  <si>
    <t>Сибайский МЦТЭТ-центр</t>
  </si>
  <si>
    <t>КУС, арендуемые помещения</t>
  </si>
  <si>
    <t>Туймазинский МЦТЭТ</t>
  </si>
  <si>
    <t>Выносные концентраторы</t>
  </si>
  <si>
    <t>ООО "Ростелеком-розничные системы"</t>
  </si>
  <si>
    <t>Республика Башкортостан, г.Бирск, Октябрьская пл. 4</t>
  </si>
  <si>
    <t>Республика Башкортостан, г.Уфа, ул.Борисоглебская, 41</t>
  </si>
  <si>
    <t>Республика Башкортостан, г.Уфа, ул.Деревенская переправа,53</t>
  </si>
  <si>
    <t>Республика Башкортостан, г.Уфа, ул.Нехаева,51/А</t>
  </si>
  <si>
    <t>Республика Башкортостан, г.Уфа, ул.Генерала Кусимова, 15/1</t>
  </si>
  <si>
    <t>Республика Башкортостан, г.Уфа, ул.Х. Давлетшиной, 18</t>
  </si>
  <si>
    <t>Республика Башкортостан, г.Уфа, ул.Сун-Ят-Сена, 11</t>
  </si>
  <si>
    <t>Республика Башкортостан, г.Уфа, ул.К. Маркса , 56</t>
  </si>
  <si>
    <t>Республика Башкортостан, г.Уфа, ул.С. Перовской, 50</t>
  </si>
  <si>
    <t>Республика Башкортостан, г.Уфа, ул.Высотная, 14/2</t>
  </si>
  <si>
    <t>Республика Башкортостан, г.Уфа, ул.Ахметова, 316/3</t>
  </si>
  <si>
    <t>Республика Башкортостан, г.Уфа, ул.Сельская 8/2</t>
  </si>
  <si>
    <t>Республика Башкортостан, г.Уфа, ул.Генерала Горбатова,3</t>
  </si>
  <si>
    <t xml:space="preserve">Республика Башкортостан, г.Уфа, ул.Менделеева,9 </t>
  </si>
  <si>
    <t>Республика Башкортостан, г.Уфа, ул.Башкирская, 16</t>
  </si>
  <si>
    <t>Республика Башкортостан, г.Уфа, ул.Ленина 32/1</t>
  </si>
  <si>
    <t>Республика Башкортостан, г.Бирск, Интернациональная 119</t>
  </si>
  <si>
    <t>Республика Башкортостан, Аскинский район, с.Аскино, ул.Советская 7</t>
  </si>
  <si>
    <t>Республика Башкортостан, Бураевский район, с.Бураево, ул.Ленина, 106</t>
  </si>
  <si>
    <t xml:space="preserve">Республика Башкортостан, г.Дюртюли, ул.Ленина,20 </t>
  </si>
  <si>
    <t>Республика Башкортостан, Татышлинский район, с.Татышлы,Ленина 90</t>
  </si>
  <si>
    <t>Республика Башкортостан, Караидельский район,с. Караидель,ул.Ленина, 34</t>
  </si>
  <si>
    <t>Республика Башкортостан, Мишкинский район, с. Мишкино, ул.Ленина,116</t>
  </si>
  <si>
    <t>Республика Башкортостан, г. Нефтекамск, ул.Социалистическая 85</t>
  </si>
  <si>
    <t>Республика Башкортостан, г. Нефтекамск, ул.Ленина 13</t>
  </si>
  <si>
    <t>Республика Башкортостан, Балтачевский район, с. Старобалтачево, ул.Советская 31</t>
  </si>
  <si>
    <t>Республика Башкортостан, г. Янаул, ул.Худайбердина 5</t>
  </si>
  <si>
    <t xml:space="preserve"> Белорецкий МЦТЭТ</t>
  </si>
  <si>
    <t>Республика Башкортостан, г. Белорецк, ул. Ленина,41</t>
  </si>
  <si>
    <t>Республика Башкортостан, Белорецкий район, с.Серменево,ул.Калинина,1</t>
  </si>
  <si>
    <t>Республика Башкортостан, Белорецкий район, с.Ассы ,ул.Больничная,1</t>
  </si>
  <si>
    <t>Республика Башкортостан, Белорецкий район, с.Шигаево,МФЦ</t>
  </si>
  <si>
    <t>Республика Башкортостан, Белорецкий район, п.В.Авзян, ул. Блюхера, 68</t>
  </si>
  <si>
    <t>Республика Башкортостан, Белорецкий район,п. Тукан, ул. Матросова, 11</t>
  </si>
  <si>
    <t>Республика Башкортостан,г.Учалы ул. М.Горького 4а</t>
  </si>
  <si>
    <t>Республика Башкортостан,г.Учалы ул. К.Маркса,22</t>
  </si>
  <si>
    <t>Республика Башкортостан,с.Учалы, ул. Советская,35</t>
  </si>
  <si>
    <t>Республика Башкортостан,Учалинский район,п. Уральск, ул. Советская, 17</t>
  </si>
  <si>
    <t>Республика Башкортостан,Учалинский район,п. Миндяк, ул. Уфимская, 1а</t>
  </si>
  <si>
    <t>Республика Башкортостан,Учалинский район,п.Ахуново, ул. Партизанская</t>
  </si>
  <si>
    <t>Республика Башкортостан,Учалинский район,п.Каримово, ул. Центральная,21</t>
  </si>
  <si>
    <t>Республика Башкортостан,Учалинский район,п. Кирябинка, ул. Никольская,10</t>
  </si>
  <si>
    <t>Республика Башкортостан,Учалинский район,п.Буйда, УЛ.Центральная,35</t>
  </si>
  <si>
    <t>Республика Башкортостан,Учалинский район,п. Кунакбаево,ул. Школьная,8</t>
  </si>
  <si>
    <t>Республика Башкортостан,Учалинский район,п. Новобайрамгулово,ул. Шоссейная,41</t>
  </si>
  <si>
    <t>Республика Башкортостан,Учалинский район,д. Уразово, ул. Центральная,18</t>
  </si>
  <si>
    <t>Республика Башкортостан,Учалинский район,д. Ишмекеево, ул. Сорагол, 3</t>
  </si>
  <si>
    <t>Республика Башкортостан,Учалинский район,д. Расулево,ул. Школьная 2</t>
  </si>
  <si>
    <t>Республика Башкортостан,Учалинский район,п. Зайникей, ул. Серебренникова</t>
  </si>
  <si>
    <t>Республика Башкортостан,Учалинский район,п. Озерный, ул. Школьная,30</t>
  </si>
  <si>
    <t>Республика Башкортостан,Учалинский район,г. Учалы-2,пер. Школьный,1</t>
  </si>
  <si>
    <t>Республика Башкортостан, Белорецкий район, г. Межгорье,ул. Кооперативная, 5</t>
  </si>
  <si>
    <t>Республика Башкортостан, Белорецкий район, г. Межгорье,ул. Советская, 27</t>
  </si>
  <si>
    <t>Республика Башкортостан, Белорецкий район, г. Межгорье,ул. Дудорова, 2</t>
  </si>
  <si>
    <t>Республика Башкортостан, г. Мелеуз,ул.Воровского 2</t>
  </si>
  <si>
    <t>Республика Башкортостан, г. Мелеуз, ул.Смоленская 45</t>
  </si>
  <si>
    <t>Республика Башкортостан, г. Кумертау, ул.Ленина, 5</t>
  </si>
  <si>
    <t>Республика Башкортостан, г. Кумертау, ул. Ленина, 6а</t>
  </si>
  <si>
    <t xml:space="preserve">Республика Башкортостан, г. Кумертау, ул.Куюргазинская, 2а </t>
  </si>
  <si>
    <t>Республика Башкортостан, Куюргазинский район, пгт.Ермолаево, ул.Советская,105</t>
  </si>
  <si>
    <t>Республика Башкортостан, Зианчуринский район, с. Исянгулово, ул.Советская 7</t>
  </si>
  <si>
    <t>Республика Башкортостан, Зианчуринский район, с. Исянгулово,ул. Окт. революции, 49/11</t>
  </si>
  <si>
    <t xml:space="preserve"> Республика Башкортостан, Кугарчинский район, с. Мраково, ул.З.Биишевой 84</t>
  </si>
  <si>
    <t>Месягутовский МЦТЭТ-центр</t>
  </si>
  <si>
    <t>Республика Башкортостан, Дуванский район, с. Месягутово, ул. Коммунистическая, 24</t>
  </si>
  <si>
    <t>Республика Башкортостан, Дуванский район,с. Месягутово, ул. Электрическая, 4</t>
  </si>
  <si>
    <t>Республика Башкортостан, Дуванский район, с. Дуван, ул. Михляева, 1а</t>
  </si>
  <si>
    <t>Республика Башкортостан, Мечетлинский район,с. Большеустьикинское, ул. Ленина, 24</t>
  </si>
  <si>
    <t>Республика Башкортостан, Кигинский район,с. Верхние Киги, ул. Советская, 12</t>
  </si>
  <si>
    <t>Республика Башкортостан, Салаватский район, с. Малояз, ул. Советская, 63</t>
  </si>
  <si>
    <t>Республика Башкортостан, Белокатайский район,с. Новобелокатай, ул. Советская, 107</t>
  </si>
  <si>
    <t>Республика Башкортостан, Хайбуллинский район, с. Акъяр, ул.Акмуллы, 7</t>
  </si>
  <si>
    <t>Республика Башкортостан, г. Баймак,пр. С. Юлаева, 44</t>
  </si>
  <si>
    <t>Республика Башкортостан, Зилаирский район,с. Зилаир, ул. Ленина, д. 64а</t>
  </si>
  <si>
    <t>Республика Башкортостан, г. Сибай, ул. Горького 53а</t>
  </si>
  <si>
    <t>Республика Башкортостан, г.Сибай,ул.Кирова,31</t>
  </si>
  <si>
    <t>Республика Башкортостан, г. Сибай,ул.Индустриальное шоссе, 2</t>
  </si>
  <si>
    <t>ул. Строителей, д. 8</t>
  </si>
  <si>
    <t>ул. Ветеранов, д. 5</t>
  </si>
  <si>
    <t>ул. Чайковского, д. 32</t>
  </si>
  <si>
    <t>ул. Туялясская, д. 12</t>
  </si>
  <si>
    <t>ул. Комсомола, д. 52</t>
  </si>
  <si>
    <t>ул. Лермонтова, д. 1</t>
  </si>
  <si>
    <t>ул. Нуриманова, д. 8</t>
  </si>
  <si>
    <t>пр. Горняков, д. 36</t>
  </si>
  <si>
    <t>пр. Горняков, д. 43</t>
  </si>
  <si>
    <t>ул. Энергетиков, д. 20 (п. Сарматы)</t>
  </si>
  <si>
    <t>ул. Тукаева, д. 4</t>
  </si>
  <si>
    <t>ул. Старательская, д. 12 (п. Золото)</t>
  </si>
  <si>
    <t>ул. Заречная, д. 32а</t>
  </si>
  <si>
    <t>ул. Островского, д. 1</t>
  </si>
  <si>
    <t>ул. Кольцевая, д. 12</t>
  </si>
  <si>
    <t>ул. Пионерская, д. 17</t>
  </si>
  <si>
    <t>ул. Ленина, д. 38</t>
  </si>
  <si>
    <t>ул. З.Валиди, д. 57/2</t>
  </si>
  <si>
    <t>ул. Сибаева, д. 22</t>
  </si>
  <si>
    <t>ул. Центральная, д. 11</t>
  </si>
  <si>
    <t>ул.Талкасская,44 (Северный )</t>
  </si>
  <si>
    <t>ул. З.Валиди, д. 50/1</t>
  </si>
  <si>
    <t>ул.Зилаирское шоссе,2 (Южный)</t>
  </si>
  <si>
    <t>ул. Сибаева, д. 44к</t>
  </si>
  <si>
    <t>ул. Зилаирское шоссе, д. 1</t>
  </si>
  <si>
    <t>ул. Горная, д. 40</t>
  </si>
  <si>
    <t>ул. Восточное шоссе, д. 12/а</t>
  </si>
  <si>
    <t>ул. Гаражная, д. 1 (п. Дружба)</t>
  </si>
  <si>
    <t>Республика Башкортостан, г. Стерлитамак, ул.Дружбы 29б (АТС-41-43)</t>
  </si>
  <si>
    <t>Республика Башкортостан, г. Стерлитамак, ул.Гоголя 118а (АТС-26)</t>
  </si>
  <si>
    <t>Республика Башкортостан, г. Стерлитамак, ул.Салавата Юлаева - 13а (АТС-28)</t>
  </si>
  <si>
    <t xml:space="preserve">Республика Башкортостан, г. Стерлитамак, ул.Худайбердина - 105 </t>
  </si>
  <si>
    <t>Республика Башкортостан, г. Стерлитамак, ул.Коммунистическая -30</t>
  </si>
  <si>
    <t xml:space="preserve">Республика Башкортостан, г. Ишимбай, ул.Советская -74 </t>
  </si>
  <si>
    <t>Республика Башкортостан, г. Ишимбай, ул.Докучаева-12(П/П)</t>
  </si>
  <si>
    <t>Республика Башкортостан, г. Ишимбай, ул.Геологическая-11(АТС-2)</t>
  </si>
  <si>
    <t>Республика Башкортостан, Ишимбайский район, ул.с.Петровское,ул.Ленина,19</t>
  </si>
  <si>
    <t xml:space="preserve">Республика Башкортостан, г. Салават, ул.Октябрьская - 33 </t>
  </si>
  <si>
    <t>Республика Башкортостан, г. Салават, ул.Гагарина - 5 (АТС -35)</t>
  </si>
  <si>
    <t>Республика Башкортостан, г. Салават, ул.Островского - 53 (АТС -33-34)</t>
  </si>
  <si>
    <t>Республика Башкортостан, Стерлибашевский район, с. Стерлибашево, ул.Карла Маркса - 109</t>
  </si>
  <si>
    <t xml:space="preserve">Республика Башкортостан,Аургазинский район, с. Толбазы, ул.Первомайская - 12 </t>
  </si>
  <si>
    <t xml:space="preserve">Республика Башкортостан, Федоровский район, с.Федоровка, ул.Коммунистическая - 72 </t>
  </si>
  <si>
    <t>Республика Башкортостан, Бакалинский район, с. Бакалы,ул.Мостовая,4</t>
  </si>
  <si>
    <t>Республика Башкортостан, г.Белебей, ул.Ленина, 7</t>
  </si>
  <si>
    <t>Республика Башкортостан, Белебеевский район,п.Приютово, Бульвар Мира, 2а</t>
  </si>
  <si>
    <t>Республика Башкортостан, Бижбулякский район, с. Бижбуляк, ул.Центральная, 50а</t>
  </si>
  <si>
    <t>Республика Башкортостан, Буздякский район, с. Буздяк, ул.Красная площадь,19</t>
  </si>
  <si>
    <t>Республика Башкортостан, г.Давлеканово, ул.Победы 29</t>
  </si>
  <si>
    <t>Республика Башкортостан, г.Давлеканово, ул.Высоковольтная 20/2</t>
  </si>
  <si>
    <t>Республика Башкортостан, Ермекеевский район, с.Ермекеево, ул.Ленина, 17</t>
  </si>
  <si>
    <t>Республика Башкортостан, Миякинский район, с. Киргиз-Мияки, ул.Ленина 20</t>
  </si>
  <si>
    <t>Республика Башкортостан, Миякинский район, с. Киргиз-Мияки,ул.Ленина 21</t>
  </si>
  <si>
    <t>Республика Башкортостан, г. Октябрьск, ул. Ленина.59</t>
  </si>
  <si>
    <t>Республика Башкортостан, г. Октябрьск, ул.Островского, 1а</t>
  </si>
  <si>
    <t>Республика Башкортостан, г. Октябрьск, ул.Горького,40</t>
  </si>
  <si>
    <t>Республика Башкортостан, г. Октябрьск, ул.Герцена, 20а</t>
  </si>
  <si>
    <t>Республика Башкортостан, г. Октябрьск, ул.Девонская,87</t>
  </si>
  <si>
    <t>Республика Башкортостан, г. Октябрьск, ул.Клинова,12</t>
  </si>
  <si>
    <t>Республика Башкортостан, Туймазинский район, с. Раевка, ул.Ленина,114</t>
  </si>
  <si>
    <t>Республика Башкортостан, г. Туймазы, ул.Чехова, 1Б</t>
  </si>
  <si>
    <t>Республика Башкортостан,Чекмагушевский район,с. Чекмагуш, ул.Ленина 57</t>
  </si>
  <si>
    <t>Республика Башкортостан,Шаранский район,с. Шаран, Центральная 23</t>
  </si>
  <si>
    <t>Республика Башкортостан, Благоварский район, с. Языково, ул.Ленина,  83</t>
  </si>
  <si>
    <t>Республика Башкортостан, г. Нефтекамск,ул.Социалистическая,85</t>
  </si>
  <si>
    <t>Республика Башкортостан, г. Нефтекамск,ул.Ленина,  13</t>
  </si>
  <si>
    <t>Республика Башкортостан, г. Янаул,ул.Худайбердина,5</t>
  </si>
  <si>
    <t>Республика Башкортостан, г.Агидель ул.Курчатова,15</t>
  </si>
  <si>
    <t>Республика Башкортостан,г. Стерлитамак, ул.Гоголя,118а(АТС-26)</t>
  </si>
  <si>
    <t>Республика Башкортостан,г. Стерлитамак, ул.Сакко и Вацетти,23(АТС-25)</t>
  </si>
  <si>
    <t>Республика Башкортостан,г. Стерлитамак, ул.Караная Муратова,2</t>
  </si>
  <si>
    <t>Республика Башкортостан,г. Стерлитамак, ул.Коммунистическая,30</t>
  </si>
  <si>
    <t>Республика Башкортостан,г. Ишимбай, ул.Советская,74</t>
  </si>
  <si>
    <t>Республика Башкортостан,Гафурийский район, п. Красноусольский, ул.Коммунистическая,10</t>
  </si>
  <si>
    <t>Республика Башкортостан,г. Салават, ул.Октябрьская,33</t>
  </si>
  <si>
    <t>Республика Башкортостан,г. Салават,ул.Ю.Гагарина,5</t>
  </si>
  <si>
    <t>Республика Башкортостан,Аургазинский район, с. Толбазы,ул.Первомайская,12</t>
  </si>
  <si>
    <t>Республика Башкортостан, Федоровский район, с. Федоровка,ул.Коммунистическая,72</t>
  </si>
  <si>
    <t>РП-17,Республика Башкортостан, г. Уфа, ул.Ирендык, 4</t>
  </si>
  <si>
    <t>Республика Башкортостан, г. Стерлитамак, ул.Сакко и Ванцетти - 23</t>
  </si>
  <si>
    <t>Республика Башкортостан, Гафурийский район, п. Красноусольский,ул.Коммунистическая - 10</t>
  </si>
  <si>
    <t>Республика Башкортостан, Стерлибашевский район, с. Стерлибашево, ул.К.Маркса,109</t>
  </si>
  <si>
    <t>Республика Башкортостан, Абзелиловский район, с. Аскарово, ул. Ленина, 35</t>
  </si>
  <si>
    <t>Республика Башкортостан, Бурзянский район, с. Старосубхангулово, ул. Ленина, 84</t>
  </si>
  <si>
    <t>Республика Башкортостан, Илишевский район, с. Верхнеяркеево, ул.Красноармейская 37</t>
  </si>
  <si>
    <t>Республика Башкортостан,Учалинский район,д. Ильчино,ул. Учителей,1</t>
  </si>
  <si>
    <t>Салаватский ЛТЦ</t>
  </si>
  <si>
    <t>Республика Башкортостан, г.Уфа, ул.Ленина 30/1</t>
  </si>
  <si>
    <t>Республика Башкортостан, Куюргазинский район, пгт.Ермолаево, пр. Мира,6</t>
  </si>
  <si>
    <t>Нефтекамский  МЦТЭТ</t>
  </si>
  <si>
    <t>Республика Башкортостан, г.Агидель,ул. Академика Курчатова 15</t>
  </si>
  <si>
    <t>Учалинский ЛТЦ</t>
  </si>
  <si>
    <t>Кумертауский ЛТЦ</t>
  </si>
  <si>
    <t>Стерлитамакский ГЦТЭТ - центр</t>
  </si>
  <si>
    <t>Ишимбайский МЦТЭТ</t>
  </si>
  <si>
    <t>Белебеевский МЦТЭТ</t>
  </si>
  <si>
    <t>Давлекановский  ЛТЦ</t>
  </si>
  <si>
    <t>Киргиз-Миякинский ЛТЦ</t>
  </si>
  <si>
    <t>Октябрьский ЛТЦ</t>
  </si>
  <si>
    <t>Туймазинский МУЭС-центр</t>
  </si>
  <si>
    <t>Чекмагушевский ЛТЦ</t>
  </si>
  <si>
    <t>Республика Башкортостан, г. Баймак,микрорайон "Северо-восточный,ул.Худайбердина</t>
  </si>
  <si>
    <t>Республика Башкортостан, г. Белорецк,ул.Грязнова,100</t>
  </si>
  <si>
    <t>Республика Башкортостан, Бакалинский район, с.Старогусево РТПС</t>
  </si>
  <si>
    <t>Республика Башкортостан, г. Белебеей,ул.Дорожная,2д РТС</t>
  </si>
  <si>
    <t>Республика Башкортостан, Дуванский район, с. Месягутово,ул.Магистральная,42</t>
  </si>
  <si>
    <t>Республика Башкортостан, Салаватский район, г.Салават,станция Южная,1</t>
  </si>
  <si>
    <t>Республика Башкортостан, Зианчуринский район, с. Исянгулово,ул.М.Гафури,16</t>
  </si>
  <si>
    <t>Республика Башкортостан, Благоварский район, с. Языково, 1,5 км.от автодороги в сторону Узербаш</t>
  </si>
  <si>
    <t xml:space="preserve">Республика Башкортостан, г.Белорецк, ул. Челябинская, 13 </t>
  </si>
  <si>
    <t>Здание ЛТЦ</t>
  </si>
  <si>
    <t>Здание МЦТЭТ</t>
  </si>
  <si>
    <t>Здание электросвязи</t>
  </si>
  <si>
    <t>Здание ГЦТЭТ</t>
  </si>
  <si>
    <t>Здание МУЭС</t>
  </si>
  <si>
    <t>Расчётно-сервисный центр РП-17</t>
  </si>
  <si>
    <t>Расчётно-сервисный центр РП-24</t>
  </si>
  <si>
    <t>Расчётно-сервисный центр РП-11</t>
  </si>
  <si>
    <t>Расчётно-сервисный центр РП-46</t>
  </si>
  <si>
    <t>Расчётно-сервисный центр РП-1</t>
  </si>
  <si>
    <t>Расчётно-сервисный центр РП</t>
  </si>
  <si>
    <t>Расчётно-сервисный центр РП-5</t>
  </si>
  <si>
    <t>Расчётно-сервисный центр РП-6</t>
  </si>
  <si>
    <t>Контейнер узла связи</t>
  </si>
  <si>
    <t>ИТОГО по ПАО "Башинфорсвязь"</t>
  </si>
  <si>
    <t>Республика Башкортостан, г. Уфа, ул. Р.Зорге, 67/3</t>
  </si>
  <si>
    <t>Бирский МУЭС-центр,Здание ГТС</t>
  </si>
  <si>
    <t>Гаражное помещение, Здание ЛТЦ</t>
  </si>
  <si>
    <t>Республика Башкортостан, г. Уфа, ул.Правды,17</t>
  </si>
  <si>
    <t>,Республика Башкортостан, г. Уфа, ул.Победы,21/1</t>
  </si>
  <si>
    <t>Республика Башкортостан, г. Уфа, ул.Кирова,105</t>
  </si>
  <si>
    <t>Республика Башкортостан, г. Уфа, ул.Сельская,8/2</t>
  </si>
  <si>
    <t>Республика Башкортостан, г. Уфа, ул.Борисоглебского,41</t>
  </si>
  <si>
    <t>Республика Башкортостан, г. Уфа, ул.Т.Янаби,32/1</t>
  </si>
  <si>
    <t>Республика Башкортостан, г. Уфа, ул.Рабкоров, 6/1</t>
  </si>
  <si>
    <t>Республика Башкортостан, г.Бирск, ул. Бурновская, 10</t>
  </si>
  <si>
    <t>Республика Башкортостан, г.Бирск,8 Марта 38а</t>
  </si>
  <si>
    <t>Республика Башкортостан, Белорецкий район,п. Тирлян, ул. Советская, 1а</t>
  </si>
  <si>
    <t>Республика Башкортостан, Дорожников, 18</t>
  </si>
  <si>
    <t>Стерлитамакский ГЦТЭТ</t>
  </si>
  <si>
    <t>Республика Башкортостан, Стерлитамакский район, с. Наумовка, ул. Ленина, 37</t>
  </si>
  <si>
    <t>Караидельский ЛТЦ</t>
  </si>
  <si>
    <t>Мишкинский ЛТЦ</t>
  </si>
  <si>
    <t>В.Татышлинский ЛТЦ</t>
  </si>
  <si>
    <t>Бураевский ЛТЦ</t>
  </si>
  <si>
    <t>Аскинский ЛТЦ</t>
  </si>
  <si>
    <t>Республика Башкортостан, с.Калтасы,ул. К.Маркса-49</t>
  </si>
  <si>
    <t>Янаульский ЛТЦ</t>
  </si>
  <si>
    <t>Республика Башкортостан, г.Уфа, ул.Ленина, 30</t>
  </si>
  <si>
    <t>Республика Башкортостан, г.Уфа, ул.Ленина, 32</t>
  </si>
  <si>
    <t>Республика Башкортостан, г. Уфа, ул.Ленина,32</t>
  </si>
  <si>
    <t>ТЦТЭТ</t>
  </si>
  <si>
    <t>Республика Башкортостан, г.Уфа, ул.Лесотехникума, 34/2/Луганская 37А</t>
  </si>
  <si>
    <t>Республика Башкортостан, Бураевский район, с.Бураево,Уф.шоссе 2/1</t>
  </si>
  <si>
    <t>РТПС</t>
  </si>
  <si>
    <t>Республика Башкортостан,г. Стерлитамак, ул.Сакко и Вацетти,23</t>
  </si>
  <si>
    <t>КТЛБ-2</t>
  </si>
  <si>
    <t>КТЛБ-4</t>
  </si>
  <si>
    <t>Участок спецсвязь</t>
  </si>
  <si>
    <t>Республика Башкортостан,г. Белебей, ул.Коммунистическая, 53 (здание лаборатории)</t>
  </si>
  <si>
    <t>Республика Башкортостан,г. Уфа, ул. Ленина, 30</t>
  </si>
  <si>
    <t>Республика Башкортостан,г. Уфа, ул. Правды, 17</t>
  </si>
  <si>
    <t>ЦМТЭТ</t>
  </si>
  <si>
    <t>Республика Башкортостан, г.Уфа, ул.Каспийская 14</t>
  </si>
  <si>
    <t>Республика Башкортостан, г. Уфа, ,ул.Гагарина,39/2</t>
  </si>
  <si>
    <t>Республика Башкортостан, г. Уфа, ,ул.Гагарина,39</t>
  </si>
  <si>
    <t>Республика Башкортостан, г. Уфа, ул.Российская,19</t>
  </si>
  <si>
    <t>Адрес объекта (полный, с указанием субъекта федерации)</t>
  </si>
  <si>
    <t>Помещения руководства  (VIP зоны) (кв.м)</t>
  </si>
  <si>
    <t>ТИП ЗДАНИЯ (прочие объекты )</t>
  </si>
  <si>
    <t>Согласно Приложения № 2 к Договору</t>
  </si>
  <si>
    <t>9=6*8</t>
  </si>
  <si>
    <t>13=10*12</t>
  </si>
  <si>
    <t>17=14*16</t>
  </si>
  <si>
    <t>21=18*20</t>
  </si>
  <si>
    <t>25=22*24</t>
  </si>
  <si>
    <t>29=26*28</t>
  </si>
  <si>
    <t>33=30*32</t>
  </si>
  <si>
    <t>35=9+13+17+21+25+29+33</t>
  </si>
  <si>
    <t>41=36*39</t>
  </si>
  <si>
    <t>42=36*40</t>
  </si>
  <si>
    <t>43=34+41</t>
  </si>
  <si>
    <t>44=35+42</t>
  </si>
  <si>
    <t>*Начальная (максимальная) стоимость кв.м в месяц без НДС (руб.)</t>
  </si>
  <si>
    <t>* Начальная (максимальная) стоимость кв.м в месяц без НДС (руб.)</t>
  </si>
  <si>
    <t>*Начальная (максимальная) стоимость услуг (уборка прилегающих территорий) в месяц, без НДС (руб.)</t>
  </si>
  <si>
    <t xml:space="preserve">* - начальная (максимальная) стоимость руб./кв.м. в месяц </t>
  </si>
  <si>
    <t>ПРИЛОЖЕНИЕ № 2 к Документации о закупке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</si>
</sst>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_(* #,##0.00_);_(* \(#,##0.00\);_(* &quot;-&quot;??_);_(@_)"/>
    <numFmt numFmtId="166" formatCode="#,##0.0000000"/>
  </numFmts>
  <fonts count="33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color rgb="FFFF0000"/>
      <name val="Calibri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indexed="8"/>
      <name val="Arial"/>
      <family val="2"/>
      <charset val="204"/>
    </font>
    <font>
      <b/>
      <sz val="2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36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48"/>
      <color rgb="FFFF0000"/>
      <name val="Calibri"/>
      <family val="2"/>
      <charset val="204"/>
    </font>
    <font>
      <b/>
      <sz val="2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7" fillId="0" borderId="0"/>
    <xf numFmtId="0" fontId="1" fillId="0" borderId="0"/>
    <xf numFmtId="0" fontId="6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 vertical="center"/>
    </xf>
    <xf numFmtId="0" fontId="3" fillId="7" borderId="0" xfId="0" applyFont="1" applyFill="1"/>
    <xf numFmtId="0" fontId="3" fillId="8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3" fillId="8" borderId="0" xfId="0" applyFont="1" applyFill="1" applyBorder="1"/>
    <xf numFmtId="16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8" borderId="0" xfId="0" applyFill="1" applyBorder="1"/>
    <xf numFmtId="0" fontId="4" fillId="0" borderId="0" xfId="0" applyFont="1" applyFill="1" applyBorder="1"/>
    <xf numFmtId="0" fontId="4" fillId="0" borderId="0" xfId="0" applyFont="1" applyBorder="1"/>
    <xf numFmtId="0" fontId="7" fillId="0" borderId="0" xfId="1"/>
    <xf numFmtId="0" fontId="10" fillId="0" borderId="0" xfId="0" applyNumberFormat="1" applyFont="1" applyFill="1" applyBorder="1" applyAlignment="1" applyProtection="1">
      <alignment vertical="top" wrapText="1"/>
    </xf>
    <xf numFmtId="4" fontId="8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0" fillId="0" borderId="0" xfId="0" applyNumberFormat="1" applyFill="1" applyAlignment="1">
      <alignment horizontal="center" vertical="center"/>
    </xf>
    <xf numFmtId="4" fontId="0" fillId="0" borderId="0" xfId="0" applyNumberFormat="1"/>
    <xf numFmtId="2" fontId="0" fillId="0" borderId="0" xfId="0" applyNumberFormat="1" applyAlignment="1">
      <alignment horizontal="center" vertical="center"/>
    </xf>
    <xf numFmtId="0" fontId="0" fillId="8" borderId="0" xfId="0" applyFill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4" fillId="8" borderId="0" xfId="0" applyFont="1" applyFill="1" applyBorder="1"/>
    <xf numFmtId="0" fontId="4" fillId="8" borderId="0" xfId="0" applyFont="1" applyFill="1"/>
    <xf numFmtId="0" fontId="5" fillId="8" borderId="0" xfId="0" applyFont="1" applyFill="1" applyBorder="1"/>
    <xf numFmtId="0" fontId="5" fillId="8" borderId="0" xfId="0" applyFont="1" applyFill="1"/>
    <xf numFmtId="0" fontId="15" fillId="8" borderId="0" xfId="0" applyFont="1" applyFill="1" applyBorder="1"/>
    <xf numFmtId="0" fontId="15" fillId="8" borderId="0" xfId="0" applyFont="1" applyFill="1"/>
    <xf numFmtId="0" fontId="15" fillId="7" borderId="0" xfId="0" applyFont="1" applyFill="1"/>
    <xf numFmtId="0" fontId="12" fillId="8" borderId="0" xfId="0" applyFont="1" applyFill="1" applyBorder="1"/>
    <xf numFmtId="0" fontId="12" fillId="8" borderId="0" xfId="0" applyFont="1" applyFill="1"/>
    <xf numFmtId="4" fontId="16" fillId="0" borderId="0" xfId="0" applyNumberFormat="1" applyFont="1" applyBorder="1" applyAlignment="1">
      <alignment horizontal="center" vertical="center"/>
    </xf>
    <xf numFmtId="0" fontId="17" fillId="8" borderId="0" xfId="0" applyFont="1" applyFill="1" applyBorder="1"/>
    <xf numFmtId="0" fontId="17" fillId="8" borderId="0" xfId="0" applyFont="1" applyFill="1"/>
    <xf numFmtId="0" fontId="5" fillId="8" borderId="0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3" fillId="7" borderId="1" xfId="0" applyFont="1" applyFill="1" applyBorder="1"/>
    <xf numFmtId="0" fontId="3" fillId="0" borderId="0" xfId="0" applyFont="1" applyFill="1"/>
    <xf numFmtId="0" fontId="3" fillId="0" borderId="1" xfId="0" applyFont="1" applyFill="1" applyBorder="1"/>
    <xf numFmtId="0" fontId="15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18" fillId="0" borderId="0" xfId="0" applyFont="1" applyBorder="1"/>
    <xf numFmtId="0" fontId="2" fillId="0" borderId="0" xfId="1" applyFont="1"/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justify" vertical="center" wrapText="1"/>
    </xf>
    <xf numFmtId="0" fontId="19" fillId="0" borderId="0" xfId="0" applyNumberFormat="1" applyFont="1" applyFill="1" applyBorder="1" applyAlignment="1" applyProtection="1">
      <alignment vertical="top"/>
    </xf>
    <xf numFmtId="0" fontId="20" fillId="0" borderId="0" xfId="0" applyFont="1"/>
    <xf numFmtId="4" fontId="3" fillId="0" borderId="0" xfId="0" applyNumberFormat="1" applyFont="1"/>
    <xf numFmtId="0" fontId="0" fillId="0" borderId="0" xfId="0" applyFill="1" applyBorder="1"/>
    <xf numFmtId="0" fontId="20" fillId="0" borderId="0" xfId="0" applyFont="1" applyAlignment="1">
      <alignment vertical="center" wrapText="1"/>
    </xf>
    <xf numFmtId="0" fontId="14" fillId="0" borderId="0" xfId="0" applyNumberFormat="1" applyFont="1" applyFill="1" applyBorder="1" applyAlignment="1" applyProtection="1">
      <alignment vertical="center"/>
    </xf>
    <xf numFmtId="0" fontId="3" fillId="8" borderId="12" xfId="0" applyFont="1" applyFill="1" applyBorder="1"/>
    <xf numFmtId="0" fontId="3" fillId="0" borderId="12" xfId="0" applyFont="1" applyFill="1" applyBorder="1"/>
    <xf numFmtId="0" fontId="3" fillId="7" borderId="12" xfId="0" applyFont="1" applyFill="1" applyBorder="1"/>
    <xf numFmtId="0" fontId="0" fillId="0" borderId="1" xfId="0" applyBorder="1"/>
    <xf numFmtId="0" fontId="14" fillId="8" borderId="6" xfId="0" applyFont="1" applyFill="1" applyBorder="1" applyAlignment="1">
      <alignment vertical="center" wrapText="1"/>
    </xf>
    <xf numFmtId="0" fontId="14" fillId="8" borderId="2" xfId="0" applyFont="1" applyFill="1" applyBorder="1" applyAlignment="1">
      <alignment vertical="center" wrapText="1"/>
    </xf>
    <xf numFmtId="0" fontId="4" fillId="8" borderId="0" xfId="0" applyFont="1" applyFill="1" applyBorder="1" applyAlignment="1">
      <alignment horizontal="center"/>
    </xf>
    <xf numFmtId="164" fontId="14" fillId="8" borderId="0" xfId="0" applyNumberFormat="1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3" fillId="0" borderId="2" xfId="0" applyFont="1" applyFill="1" applyBorder="1"/>
    <xf numFmtId="4" fontId="0" fillId="0" borderId="0" xfId="0" applyNumberForma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3" fillId="8" borderId="5" xfId="0" applyFont="1" applyFill="1" applyBorder="1"/>
    <xf numFmtId="0" fontId="0" fillId="0" borderId="2" xfId="0" applyBorder="1"/>
    <xf numFmtId="0" fontId="5" fillId="8" borderId="13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3" fillId="0" borderId="16" xfId="0" applyFont="1" applyFill="1" applyBorder="1"/>
    <xf numFmtId="0" fontId="4" fillId="8" borderId="16" xfId="0" applyFont="1" applyFill="1" applyBorder="1" applyAlignment="1">
      <alignment horizontal="center"/>
    </xf>
    <xf numFmtId="0" fontId="0" fillId="8" borderId="4" xfId="0" applyFill="1" applyBorder="1"/>
    <xf numFmtId="2" fontId="23" fillId="0" borderId="0" xfId="0" applyNumberFormat="1" applyFont="1" applyFill="1" applyAlignment="1">
      <alignment horizontal="center" vertical="center"/>
    </xf>
    <xf numFmtId="4" fontId="0" fillId="0" borderId="0" xfId="0" applyNumberFormat="1" applyFill="1"/>
    <xf numFmtId="4" fontId="16" fillId="0" borderId="0" xfId="0" applyNumberFormat="1" applyFont="1" applyFill="1"/>
    <xf numFmtId="0" fontId="16" fillId="0" borderId="0" xfId="0" applyFont="1" applyFill="1"/>
    <xf numFmtId="0" fontId="17" fillId="0" borderId="0" xfId="0" applyFont="1" applyFill="1"/>
    <xf numFmtId="4" fontId="17" fillId="0" borderId="0" xfId="0" applyNumberFormat="1" applyFont="1" applyFill="1"/>
    <xf numFmtId="0" fontId="17" fillId="0" borderId="0" xfId="0" applyFont="1" applyFill="1" applyBorder="1"/>
    <xf numFmtId="164" fontId="13" fillId="0" borderId="16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Fill="1" applyAlignment="1">
      <alignment horizontal="center" vertical="center"/>
    </xf>
    <xf numFmtId="4" fontId="16" fillId="0" borderId="0" xfId="0" applyNumberFormat="1" applyFont="1" applyFill="1" applyAlignment="1">
      <alignment horizontal="center" vertical="center"/>
    </xf>
    <xf numFmtId="164" fontId="16" fillId="0" borderId="0" xfId="0" applyNumberFormat="1" applyFont="1" applyFill="1"/>
    <xf numFmtId="4" fontId="9" fillId="0" borderId="0" xfId="0" applyNumberFormat="1" applyFont="1" applyBorder="1"/>
    <xf numFmtId="0" fontId="16" fillId="0" borderId="0" xfId="0" applyFont="1" applyFill="1" applyBorder="1"/>
    <xf numFmtId="164" fontId="17" fillId="0" borderId="0" xfId="0" applyNumberFormat="1" applyFont="1" applyFill="1"/>
    <xf numFmtId="0" fontId="24" fillId="3" borderId="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center" vertical="center" wrapText="1"/>
    </xf>
    <xf numFmtId="0" fontId="24" fillId="9" borderId="15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left" vertical="center" wrapText="1"/>
    </xf>
    <xf numFmtId="0" fontId="28" fillId="0" borderId="3" xfId="0" applyNumberFormat="1" applyFont="1" applyFill="1" applyBorder="1" applyAlignment="1">
      <alignment horizontal="left" vertical="top" wrapText="1"/>
    </xf>
    <xf numFmtId="0" fontId="28" fillId="0" borderId="3" xfId="0" applyNumberFormat="1" applyFont="1" applyFill="1" applyBorder="1" applyAlignment="1" applyProtection="1">
      <alignment horizontal="left" vertical="top" wrapText="1"/>
    </xf>
    <xf numFmtId="164" fontId="28" fillId="0" borderId="3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4" fontId="28" fillId="0" borderId="3" xfId="6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164" fontId="29" fillId="0" borderId="4" xfId="0" applyNumberFormat="1" applyFont="1" applyFill="1" applyBorder="1" applyAlignment="1">
      <alignment horizontal="center" vertical="center" wrapText="1"/>
    </xf>
    <xf numFmtId="4" fontId="29" fillId="0" borderId="3" xfId="0" applyNumberFormat="1" applyFont="1" applyFill="1" applyBorder="1" applyAlignment="1">
      <alignment horizontal="center" vertical="center" wrapText="1"/>
    </xf>
    <xf numFmtId="0" fontId="30" fillId="8" borderId="6" xfId="0" applyFont="1" applyFill="1" applyBorder="1" applyAlignment="1">
      <alignment vertical="center" wrapText="1"/>
    </xf>
    <xf numFmtId="164" fontId="29" fillId="0" borderId="6" xfId="0" applyNumberFormat="1" applyFont="1" applyFill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left" vertical="center" wrapText="1"/>
    </xf>
    <xf numFmtId="0" fontId="28" fillId="0" borderId="1" xfId="0" applyNumberFormat="1" applyFont="1" applyFill="1" applyBorder="1" applyAlignment="1">
      <alignment horizontal="left" vertical="top" wrapText="1"/>
    </xf>
    <xf numFmtId="0" fontId="28" fillId="0" borderId="1" xfId="0" applyNumberFormat="1" applyFont="1" applyFill="1" applyBorder="1" applyAlignment="1" applyProtection="1">
      <alignment horizontal="left" vertical="top" wrapText="1"/>
    </xf>
    <xf numFmtId="164" fontId="29" fillId="0" borderId="1" xfId="0" applyNumberFormat="1" applyFont="1" applyFill="1" applyBorder="1" applyAlignment="1">
      <alignment horizontal="center" vertical="center" wrapText="1"/>
    </xf>
    <xf numFmtId="164" fontId="28" fillId="0" borderId="1" xfId="0" applyNumberFormat="1" applyFont="1" applyFill="1" applyBorder="1" applyAlignment="1">
      <alignment horizontal="center" vertical="center" wrapText="1"/>
    </xf>
    <xf numFmtId="164" fontId="28" fillId="0" borderId="1" xfId="6" applyNumberFormat="1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0" fontId="28" fillId="0" borderId="11" xfId="0" applyNumberFormat="1" applyFont="1" applyFill="1" applyBorder="1" applyAlignment="1">
      <alignment horizontal="left" vertical="center" wrapText="1"/>
    </xf>
    <xf numFmtId="0" fontId="28" fillId="0" borderId="11" xfId="0" applyNumberFormat="1" applyFont="1" applyFill="1" applyBorder="1" applyAlignment="1">
      <alignment horizontal="left" vertical="top" wrapText="1"/>
    </xf>
    <xf numFmtId="0" fontId="28" fillId="0" borderId="11" xfId="0" applyNumberFormat="1" applyFont="1" applyFill="1" applyBorder="1" applyAlignment="1" applyProtection="1">
      <alignment horizontal="left" vertical="top" wrapText="1"/>
    </xf>
    <xf numFmtId="164" fontId="29" fillId="0" borderId="10" xfId="0" applyNumberFormat="1" applyFont="1" applyFill="1" applyBorder="1" applyAlignment="1">
      <alignment horizontal="center" vertical="center" wrapText="1"/>
    </xf>
    <xf numFmtId="164" fontId="28" fillId="0" borderId="10" xfId="0" applyNumberFormat="1" applyFont="1" applyFill="1" applyBorder="1" applyAlignment="1">
      <alignment horizontal="center" vertical="center" wrapText="1"/>
    </xf>
    <xf numFmtId="164" fontId="28" fillId="0" borderId="10" xfId="6" applyNumberFormat="1" applyFont="1" applyFill="1" applyBorder="1" applyAlignment="1">
      <alignment horizontal="center" vertical="center" wrapText="1"/>
    </xf>
    <xf numFmtId="4" fontId="28" fillId="0" borderId="10" xfId="0" applyNumberFormat="1" applyFont="1" applyFill="1" applyBorder="1" applyAlignment="1">
      <alignment horizontal="center" vertical="center" wrapText="1"/>
    </xf>
    <xf numFmtId="164" fontId="29" fillId="0" borderId="12" xfId="0" applyNumberFormat="1" applyFont="1" applyFill="1" applyBorder="1" applyAlignment="1">
      <alignment horizontal="center" vertical="center" wrapText="1"/>
    </xf>
    <xf numFmtId="4" fontId="28" fillId="0" borderId="6" xfId="0" applyNumberFormat="1" applyFont="1" applyFill="1" applyBorder="1" applyAlignment="1">
      <alignment horizontal="center" vertical="center" wrapText="1"/>
    </xf>
    <xf numFmtId="4" fontId="29" fillId="0" borderId="1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left" vertical="center" wrapText="1"/>
    </xf>
    <xf numFmtId="0" fontId="30" fillId="0" borderId="3" xfId="0" applyNumberFormat="1" applyFont="1" applyFill="1" applyBorder="1" applyAlignment="1">
      <alignment horizontal="left" vertical="top" wrapText="1"/>
    </xf>
    <xf numFmtId="0" fontId="30" fillId="8" borderId="6" xfId="0" applyNumberFormat="1" applyFont="1" applyFill="1" applyBorder="1" applyAlignment="1">
      <alignment vertical="center" wrapText="1"/>
    </xf>
    <xf numFmtId="0" fontId="28" fillId="0" borderId="0" xfId="0" applyNumberFormat="1" applyFont="1" applyFill="1" applyBorder="1" applyAlignment="1">
      <alignment horizontal="left" vertical="top" wrapText="1"/>
    </xf>
    <xf numFmtId="0" fontId="28" fillId="0" borderId="14" xfId="0" applyNumberFormat="1" applyFont="1" applyFill="1" applyBorder="1" applyAlignment="1" applyProtection="1">
      <alignment horizontal="left" vertical="top" wrapText="1"/>
    </xf>
    <xf numFmtId="164" fontId="28" fillId="0" borderId="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30" fillId="7" borderId="13" xfId="0" applyFont="1" applyFill="1" applyBorder="1" applyAlignment="1">
      <alignment horizontal="left" vertical="center" wrapText="1"/>
    </xf>
    <xf numFmtId="0" fontId="28" fillId="0" borderId="10" xfId="0" applyNumberFormat="1" applyFont="1" applyFill="1" applyBorder="1" applyAlignment="1">
      <alignment horizontal="left" vertical="top" wrapText="1"/>
    </xf>
    <xf numFmtId="0" fontId="28" fillId="0" borderId="10" xfId="0" applyNumberFormat="1" applyFont="1" applyFill="1" applyBorder="1" applyAlignment="1" applyProtection="1">
      <alignment horizontal="left" vertical="top" wrapText="1"/>
    </xf>
    <xf numFmtId="0" fontId="28" fillId="0" borderId="13" xfId="0" applyNumberFormat="1" applyFont="1" applyFill="1" applyBorder="1" applyAlignment="1">
      <alignment horizontal="left" vertical="top" wrapText="1"/>
    </xf>
    <xf numFmtId="0" fontId="30" fillId="10" borderId="1" xfId="0" applyFont="1" applyFill="1" applyBorder="1" applyAlignment="1">
      <alignment horizontal="left"/>
    </xf>
    <xf numFmtId="164" fontId="30" fillId="10" borderId="1" xfId="0" applyNumberFormat="1" applyFont="1" applyFill="1" applyBorder="1" applyAlignment="1">
      <alignment horizontal="center" vertical="center" wrapText="1"/>
    </xf>
    <xf numFmtId="0" fontId="31" fillId="0" borderId="0" xfId="0" applyFont="1" applyBorder="1"/>
    <xf numFmtId="0" fontId="30" fillId="10" borderId="5" xfId="0" applyFont="1" applyFill="1" applyBorder="1" applyAlignment="1">
      <alignment horizontal="left" vertical="center" wrapText="1"/>
    </xf>
    <xf numFmtId="0" fontId="30" fillId="10" borderId="6" xfId="0" applyFont="1" applyFill="1" applyBorder="1" applyAlignment="1">
      <alignment horizontal="left" vertical="center" wrapText="1"/>
    </xf>
    <xf numFmtId="0" fontId="30" fillId="10" borderId="2" xfId="0" applyFont="1" applyFill="1" applyBorder="1" applyAlignment="1">
      <alignment horizontal="left" vertical="center" wrapText="1"/>
    </xf>
    <xf numFmtId="0" fontId="30" fillId="8" borderId="5" xfId="0" applyNumberFormat="1" applyFont="1" applyFill="1" applyBorder="1" applyAlignment="1">
      <alignment horizontal="center" vertical="center" wrapText="1"/>
    </xf>
    <xf numFmtId="0" fontId="30" fillId="8" borderId="6" xfId="0" applyNumberFormat="1" applyFont="1" applyFill="1" applyBorder="1" applyAlignment="1">
      <alignment horizontal="center" vertical="center" wrapText="1"/>
    </xf>
    <xf numFmtId="0" fontId="30" fillId="8" borderId="5" xfId="0" applyFont="1" applyFill="1" applyBorder="1" applyAlignment="1">
      <alignment horizontal="center" vertical="center" wrapText="1"/>
    </xf>
    <xf numFmtId="0" fontId="30" fillId="8" borderId="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top"/>
    </xf>
    <xf numFmtId="0" fontId="20" fillId="0" borderId="0" xfId="0" applyFont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4" fontId="24" fillId="5" borderId="1" xfId="0" applyNumberFormat="1" applyFont="1" applyFill="1" applyBorder="1" applyAlignment="1">
      <alignment horizontal="center" vertical="center" wrapText="1"/>
    </xf>
    <xf numFmtId="4" fontId="27" fillId="5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164" fontId="24" fillId="7" borderId="1" xfId="0" applyNumberFormat="1" applyFont="1" applyFill="1" applyBorder="1" applyAlignment="1">
      <alignment horizontal="center" vertical="center" wrapText="1"/>
    </xf>
    <xf numFmtId="164" fontId="25" fillId="7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0" fillId="0" borderId="0" xfId="0" applyAlignment="1"/>
  </cellXfs>
  <cellStyles count="10">
    <cellStyle name="Денежный 2" xfId="8"/>
    <cellStyle name="Обычный" xfId="0" builtinId="0"/>
    <cellStyle name="Обычный 2" xfId="1"/>
    <cellStyle name="Обычный 2 2" xfId="7"/>
    <cellStyle name="Обычный 4" xfId="2"/>
    <cellStyle name="Процентный 3" xfId="9"/>
    <cellStyle name="Стиль 1" xfId="3"/>
    <cellStyle name="Финансовый 2" xfId="4"/>
    <cellStyle name="Финансовый 3" xfId="5"/>
    <cellStyle name="Финансовый_Удмуртия Приложение № 1к договору уборки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O273"/>
  <sheetViews>
    <sheetView tabSelected="1" view="pageBreakPreview" topLeftCell="AA1" zoomScale="25" zoomScaleNormal="55" zoomScaleSheetLayoutView="25" workbookViewId="0">
      <selection activeCell="AZ5" sqref="AZ5"/>
    </sheetView>
  </sheetViews>
  <sheetFormatPr defaultRowHeight="15" outlineLevelRow="1" outlineLevelCol="2" x14ac:dyDescent="0.25"/>
  <cols>
    <col min="1" max="1" width="20.42578125" customWidth="1"/>
    <col min="2" max="2" width="49.7109375" customWidth="1"/>
    <col min="3" max="3" width="51.42578125" customWidth="1"/>
    <col min="4" max="4" width="30.85546875" style="2" customWidth="1"/>
    <col min="5" max="5" width="36.42578125" style="3" customWidth="1"/>
    <col min="6" max="6" width="16.7109375" style="6" hidden="1" customWidth="1" outlineLevel="1"/>
    <col min="7" max="7" width="26.85546875" style="1" hidden="1" customWidth="1" outlineLevel="2"/>
    <col min="8" max="8" width="27.7109375" style="1" hidden="1" customWidth="1" outlineLevel="2"/>
    <col min="9" max="9" width="31.140625" style="1" hidden="1" customWidth="1" outlineLevel="2"/>
    <col min="10" max="10" width="33" style="6" customWidth="1" outlineLevel="1" collapsed="1"/>
    <col min="11" max="11" width="23.28515625" style="1" customWidth="1" outlineLevel="2"/>
    <col min="12" max="12" width="30.140625" style="1" customWidth="1" outlineLevel="2"/>
    <col min="13" max="13" width="37.5703125" style="1" customWidth="1" outlineLevel="2"/>
    <col min="14" max="14" width="28.140625" style="6" customWidth="1" outlineLevel="1"/>
    <col min="15" max="15" width="20.7109375" style="1" customWidth="1" outlineLevel="2"/>
    <col min="16" max="16" width="14.85546875" style="1" customWidth="1" outlineLevel="2"/>
    <col min="17" max="17" width="31.42578125" style="1" customWidth="1" outlineLevel="2"/>
    <col min="18" max="18" width="26.28515625" style="6" customWidth="1" outlineLevel="1"/>
    <col min="19" max="19" width="25.7109375" style="1" customWidth="1" outlineLevel="2"/>
    <col min="20" max="20" width="27.7109375" style="1" customWidth="1" outlineLevel="2"/>
    <col min="21" max="21" width="26.5703125" style="1" customWidth="1" outlineLevel="2"/>
    <col min="22" max="22" width="27.5703125" style="6" customWidth="1" outlineLevel="1"/>
    <col min="23" max="23" width="21.85546875" style="1" customWidth="1" outlineLevel="2"/>
    <col min="24" max="24" width="23.5703125" style="1" customWidth="1" outlineLevel="2"/>
    <col min="25" max="25" width="29.85546875" style="1" customWidth="1" outlineLevel="2"/>
    <col min="26" max="26" width="25.85546875" style="6" customWidth="1" outlineLevel="1"/>
    <col min="27" max="28" width="18" style="1" customWidth="1" outlineLevel="2"/>
    <col min="29" max="29" width="32.140625" style="1" customWidth="1" outlineLevel="2"/>
    <col min="30" max="30" width="22" style="6" hidden="1" customWidth="1" outlineLevel="1"/>
    <col min="31" max="31" width="26" style="1" hidden="1" customWidth="1" outlineLevel="2"/>
    <col min="32" max="32" width="25.42578125" style="1" hidden="1" customWidth="1" outlineLevel="2"/>
    <col min="33" max="33" width="21.42578125" style="1" hidden="1" customWidth="1" outlineLevel="2"/>
    <col min="34" max="34" width="25.5703125" style="6" customWidth="1" outlineLevel="1" collapsed="1"/>
    <col min="35" max="35" width="21.5703125" style="1" customWidth="1" outlineLevel="2"/>
    <col min="36" max="36" width="26.7109375" style="1" customWidth="1" outlineLevel="2"/>
    <col min="37" max="37" width="28.85546875" style="1" customWidth="1" outlineLevel="2"/>
    <col min="38" max="38" width="25.5703125" style="6" customWidth="1" outlineLevel="1"/>
    <col min="39" max="39" width="23.42578125" style="1" customWidth="1" outlineLevel="2"/>
    <col min="40" max="40" width="24.5703125" style="1" customWidth="1" outlineLevel="2"/>
    <col min="41" max="41" width="30.85546875" style="1" customWidth="1" outlineLevel="2"/>
    <col min="42" max="42" width="46.28515625" style="1" customWidth="1" outlineLevel="1"/>
    <col min="43" max="43" width="42.28515625" style="1" customWidth="1" outlineLevel="1"/>
    <col min="44" max="44" width="37.28515625" style="7" customWidth="1"/>
    <col min="45" max="45" width="40.42578125" customWidth="1"/>
    <col min="46" max="46" width="21" style="7" customWidth="1"/>
    <col min="47" max="47" width="29" style="7" customWidth="1"/>
    <col min="48" max="48" width="25" style="7" customWidth="1"/>
    <col min="49" max="49" width="34.140625" style="7" customWidth="1"/>
    <col min="50" max="50" width="40.42578125" style="7" customWidth="1"/>
    <col min="51" max="51" width="42" customWidth="1"/>
    <col min="52" max="52" width="35.140625" style="22" customWidth="1"/>
    <col min="53" max="53" width="20.85546875" customWidth="1"/>
    <col min="54" max="54" width="9.140625" style="8" customWidth="1"/>
    <col min="55" max="58" width="9.140625" style="8"/>
  </cols>
  <sheetData>
    <row r="1" spans="1:88" ht="54.75" customHeight="1" x14ac:dyDescent="0.3">
      <c r="A1" s="8"/>
      <c r="B1" s="90"/>
      <c r="C1" s="91"/>
      <c r="D1" s="16"/>
      <c r="E1" s="10"/>
      <c r="F1" s="11"/>
      <c r="G1" s="12"/>
      <c r="H1" s="12"/>
      <c r="I1" s="12"/>
      <c r="J1" s="11"/>
      <c r="K1" s="12"/>
      <c r="L1" s="12"/>
      <c r="M1" s="12"/>
      <c r="N1" s="11"/>
      <c r="O1" s="12"/>
      <c r="P1" s="12"/>
      <c r="Q1" s="12"/>
      <c r="R1" s="11"/>
      <c r="S1" s="12"/>
      <c r="T1" s="12"/>
      <c r="U1" s="12"/>
      <c r="V1" s="11"/>
      <c r="W1" s="12"/>
      <c r="X1" s="12"/>
      <c r="Y1" s="12"/>
      <c r="Z1" s="11"/>
      <c r="AA1" s="12"/>
      <c r="AB1" s="12"/>
      <c r="AC1" s="12"/>
      <c r="AD1" s="11"/>
      <c r="AE1" s="12"/>
      <c r="AF1" s="12"/>
      <c r="AG1" s="12"/>
      <c r="AH1" s="11"/>
      <c r="AI1" s="12"/>
      <c r="AJ1" s="12"/>
      <c r="AK1" s="12"/>
      <c r="AL1" s="11"/>
      <c r="AM1" s="12"/>
      <c r="AN1" s="12"/>
      <c r="AO1" s="12"/>
      <c r="AP1" s="12"/>
      <c r="AQ1" s="12"/>
      <c r="AT1" s="15"/>
      <c r="AU1" s="15"/>
      <c r="AV1" s="15"/>
      <c r="AW1" s="176" t="s">
        <v>329</v>
      </c>
      <c r="AX1" s="177"/>
      <c r="AZ1" s="15"/>
      <c r="BA1" s="15"/>
    </row>
    <row r="2" spans="1:88" ht="18.75" x14ac:dyDescent="0.3">
      <c r="A2" s="8"/>
      <c r="B2" s="90"/>
      <c r="C2" s="91"/>
      <c r="D2" s="16"/>
      <c r="E2" s="10"/>
      <c r="F2" s="11"/>
      <c r="G2" s="12"/>
      <c r="H2" s="12"/>
      <c r="I2" s="12"/>
      <c r="J2" s="11"/>
      <c r="K2" s="12"/>
      <c r="L2" s="12"/>
      <c r="M2" s="12"/>
      <c r="N2" s="11"/>
      <c r="O2" s="12"/>
      <c r="P2" s="12"/>
      <c r="Q2" s="12"/>
      <c r="R2" s="11"/>
      <c r="S2" s="12"/>
      <c r="T2" s="12"/>
      <c r="U2" s="12"/>
      <c r="V2" s="11"/>
      <c r="W2" s="12"/>
      <c r="X2" s="12"/>
      <c r="Y2" s="12"/>
      <c r="Z2" s="11"/>
      <c r="AA2" s="12"/>
      <c r="AB2" s="12"/>
      <c r="AC2" s="12"/>
      <c r="AD2" s="11"/>
      <c r="AE2" s="12"/>
      <c r="AF2" s="12"/>
      <c r="AG2" s="12"/>
      <c r="AH2" s="11"/>
      <c r="AI2" s="12"/>
      <c r="AJ2" s="12"/>
      <c r="AK2" s="12"/>
      <c r="AL2" s="11"/>
      <c r="AM2" s="12"/>
      <c r="AN2" s="12"/>
      <c r="AO2" s="12"/>
      <c r="AP2" s="12"/>
      <c r="AQ2" s="12"/>
      <c r="AT2" s="15"/>
      <c r="AU2" s="15"/>
      <c r="AV2" s="15"/>
      <c r="AW2" s="15"/>
      <c r="AX2" s="14"/>
      <c r="AZ2" s="15"/>
      <c r="BA2" s="15"/>
    </row>
    <row r="3" spans="1:88" ht="18.75" x14ac:dyDescent="0.3">
      <c r="A3" s="8"/>
      <c r="B3" s="90"/>
      <c r="C3" s="57"/>
      <c r="D3" s="16"/>
      <c r="E3" s="10"/>
      <c r="F3" s="11"/>
      <c r="G3" s="12"/>
      <c r="H3" s="12"/>
      <c r="I3" s="12"/>
      <c r="J3" s="11"/>
      <c r="K3" s="12"/>
      <c r="L3" s="12"/>
      <c r="M3" s="12"/>
      <c r="N3" s="25"/>
      <c r="O3" s="12"/>
      <c r="P3" s="35"/>
      <c r="Q3" s="12"/>
      <c r="R3" s="11"/>
      <c r="S3" s="12"/>
      <c r="T3" s="12"/>
      <c r="U3" s="12"/>
      <c r="V3" s="11"/>
      <c r="W3" s="12"/>
      <c r="X3" s="70"/>
      <c r="Y3" s="12"/>
      <c r="Z3" s="11"/>
      <c r="AA3" s="12"/>
      <c r="AB3" s="12"/>
      <c r="AC3" s="12"/>
      <c r="AD3" s="11"/>
      <c r="AE3" s="12"/>
      <c r="AF3" s="12"/>
      <c r="AG3" s="12"/>
      <c r="AH3" s="11"/>
      <c r="AI3" s="12"/>
      <c r="AJ3" s="35"/>
      <c r="AK3" s="12"/>
      <c r="AL3" s="11"/>
      <c r="AM3" s="12"/>
      <c r="AN3" s="12"/>
      <c r="AO3" s="12"/>
      <c r="AP3" s="12"/>
      <c r="AQ3" s="12"/>
      <c r="AT3" s="15"/>
      <c r="AU3" s="15"/>
      <c r="AV3" s="15"/>
      <c r="AW3" s="15"/>
      <c r="AX3" s="14"/>
      <c r="AZ3" s="15"/>
      <c r="BA3" s="15"/>
    </row>
    <row r="4" spans="1:88" ht="61.5" x14ac:dyDescent="0.9">
      <c r="A4" s="8"/>
      <c r="B4" s="145" t="s">
        <v>328</v>
      </c>
      <c r="C4" s="8"/>
      <c r="D4" s="16"/>
      <c r="E4" s="10"/>
      <c r="F4" s="11"/>
      <c r="G4" s="12"/>
      <c r="H4" s="12"/>
      <c r="I4" s="12"/>
      <c r="J4" s="11"/>
      <c r="K4" s="12"/>
      <c r="L4" s="12"/>
      <c r="M4" s="12"/>
      <c r="N4" s="11"/>
      <c r="O4" s="12"/>
      <c r="P4" s="12"/>
      <c r="Q4" s="12"/>
      <c r="R4" s="11"/>
      <c r="S4" s="12"/>
      <c r="T4" s="12"/>
      <c r="U4" s="12"/>
      <c r="V4" s="11"/>
      <c r="W4" s="12"/>
      <c r="X4" s="12"/>
      <c r="Y4" s="12"/>
      <c r="Z4" s="11"/>
      <c r="AA4" s="35"/>
      <c r="AB4" s="35"/>
      <c r="AC4" s="12"/>
      <c r="AD4" s="11"/>
      <c r="AE4" s="12"/>
      <c r="AF4" s="12"/>
      <c r="AG4" s="12"/>
      <c r="AH4" s="11"/>
      <c r="AI4" s="12"/>
      <c r="AJ4" s="12"/>
      <c r="AK4" s="12"/>
      <c r="AL4" s="11"/>
      <c r="AM4" s="12"/>
      <c r="AN4" s="12"/>
      <c r="AO4" s="12"/>
      <c r="AP4" s="12"/>
      <c r="AQ4" s="12"/>
      <c r="AT4" s="15"/>
      <c r="AU4" s="15"/>
      <c r="AV4" s="15"/>
      <c r="AW4" s="15"/>
      <c r="AX4" s="15"/>
      <c r="AY4" s="15"/>
      <c r="BA4" s="8"/>
    </row>
    <row r="5" spans="1:88" ht="15.75" x14ac:dyDescent="0.25">
      <c r="A5" s="47"/>
      <c r="B5" s="48"/>
      <c r="C5" s="47"/>
      <c r="D5" s="49"/>
      <c r="E5" s="50"/>
      <c r="F5" s="46"/>
      <c r="G5" s="51"/>
      <c r="H5" s="51"/>
      <c r="I5" s="51"/>
      <c r="J5" s="46"/>
      <c r="K5" s="51"/>
      <c r="L5" s="51"/>
      <c r="M5" s="51"/>
      <c r="N5" s="46"/>
      <c r="O5" s="51"/>
      <c r="P5" s="51"/>
      <c r="Q5" s="51"/>
      <c r="R5" s="46"/>
      <c r="S5" s="51"/>
      <c r="T5" s="51"/>
      <c r="U5" s="51"/>
      <c r="V5" s="46"/>
      <c r="W5" s="51"/>
      <c r="X5" s="51"/>
      <c r="Y5" s="51"/>
      <c r="Z5" s="46"/>
      <c r="AA5" s="51"/>
      <c r="AB5" s="51"/>
      <c r="AC5" s="51"/>
      <c r="AD5" s="46"/>
      <c r="AE5" s="51"/>
      <c r="AF5" s="51"/>
      <c r="AG5" s="51"/>
      <c r="AH5" s="46"/>
      <c r="AI5" s="51"/>
      <c r="AJ5" s="51"/>
      <c r="AK5" s="51"/>
      <c r="AL5" s="46"/>
      <c r="AM5" s="51"/>
      <c r="AN5" s="51"/>
      <c r="AO5" s="51"/>
      <c r="AP5" s="51"/>
      <c r="AQ5" s="51"/>
      <c r="AR5" s="42"/>
      <c r="AS5" s="52"/>
      <c r="AT5" s="15"/>
      <c r="AU5" s="15"/>
      <c r="AV5" s="15"/>
      <c r="AW5" s="15"/>
      <c r="AX5" s="15"/>
      <c r="AY5" s="15"/>
      <c r="AZ5" s="56"/>
      <c r="BA5" s="8"/>
    </row>
    <row r="6" spans="1:88" x14ac:dyDescent="0.25">
      <c r="A6" s="156" t="s">
        <v>34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8"/>
    </row>
    <row r="7" spans="1:88" x14ac:dyDescent="0.25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8"/>
    </row>
    <row r="8" spans="1:88" ht="34.5" x14ac:dyDescent="0.25">
      <c r="A8" s="175" t="s">
        <v>4</v>
      </c>
      <c r="B8" s="167" t="s">
        <v>6</v>
      </c>
      <c r="C8" s="167"/>
      <c r="D8" s="158"/>
      <c r="E8" s="167" t="s">
        <v>0</v>
      </c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93"/>
      <c r="AP8" s="160" t="s">
        <v>27</v>
      </c>
      <c r="AQ8" s="160" t="s">
        <v>28</v>
      </c>
      <c r="AR8" s="167" t="s">
        <v>1</v>
      </c>
      <c r="AS8" s="158"/>
      <c r="AT8" s="158"/>
      <c r="AU8" s="159" t="s">
        <v>325</v>
      </c>
      <c r="AV8" s="159" t="s">
        <v>25</v>
      </c>
      <c r="AW8" s="160" t="s">
        <v>327</v>
      </c>
      <c r="AX8" s="160" t="s">
        <v>26</v>
      </c>
      <c r="AY8" s="160" t="s">
        <v>23</v>
      </c>
      <c r="AZ8" s="165" t="s">
        <v>22</v>
      </c>
      <c r="BA8" s="13"/>
      <c r="BB8" s="13"/>
      <c r="BC8" s="13"/>
      <c r="BD8" s="13"/>
    </row>
    <row r="9" spans="1:88" ht="35.25" thickBot="1" x14ac:dyDescent="0.3">
      <c r="A9" s="175"/>
      <c r="B9" s="167" t="s">
        <v>5</v>
      </c>
      <c r="C9" s="168" t="s">
        <v>309</v>
      </c>
      <c r="D9" s="173" t="s">
        <v>311</v>
      </c>
      <c r="E9" s="171" t="s">
        <v>2</v>
      </c>
      <c r="F9" s="162" t="s">
        <v>3</v>
      </c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4"/>
      <c r="AP9" s="170"/>
      <c r="AQ9" s="170"/>
      <c r="AR9" s="157" t="s">
        <v>32</v>
      </c>
      <c r="AS9" s="157" t="s">
        <v>15</v>
      </c>
      <c r="AT9" s="157" t="s">
        <v>33</v>
      </c>
      <c r="AU9" s="159"/>
      <c r="AV9" s="159"/>
      <c r="AW9" s="161"/>
      <c r="AX9" s="161"/>
      <c r="AY9" s="161"/>
      <c r="AZ9" s="166"/>
      <c r="BA9" s="13"/>
      <c r="BB9" s="13"/>
      <c r="BC9" s="13"/>
      <c r="BD9" s="13"/>
    </row>
    <row r="10" spans="1:88" ht="409.5" x14ac:dyDescent="0.25">
      <c r="A10" s="175"/>
      <c r="B10" s="158"/>
      <c r="C10" s="169"/>
      <c r="D10" s="174"/>
      <c r="E10" s="172"/>
      <c r="F10" s="94" t="s">
        <v>310</v>
      </c>
      <c r="G10" s="95" t="s">
        <v>24</v>
      </c>
      <c r="H10" s="95" t="s">
        <v>25</v>
      </c>
      <c r="I10" s="95" t="s">
        <v>29</v>
      </c>
      <c r="J10" s="94" t="s">
        <v>7</v>
      </c>
      <c r="K10" s="95" t="s">
        <v>325</v>
      </c>
      <c r="L10" s="95" t="s">
        <v>25</v>
      </c>
      <c r="M10" s="95" t="s">
        <v>29</v>
      </c>
      <c r="N10" s="94" t="s">
        <v>8</v>
      </c>
      <c r="O10" s="95" t="s">
        <v>325</v>
      </c>
      <c r="P10" s="95" t="s">
        <v>25</v>
      </c>
      <c r="Q10" s="95" t="s">
        <v>29</v>
      </c>
      <c r="R10" s="94" t="s">
        <v>9</v>
      </c>
      <c r="S10" s="95" t="s">
        <v>325</v>
      </c>
      <c r="T10" s="95" t="s">
        <v>25</v>
      </c>
      <c r="U10" s="95" t="s">
        <v>29</v>
      </c>
      <c r="V10" s="94" t="s">
        <v>10</v>
      </c>
      <c r="W10" s="95" t="s">
        <v>326</v>
      </c>
      <c r="X10" s="95" t="s">
        <v>25</v>
      </c>
      <c r="Y10" s="95" t="s">
        <v>29</v>
      </c>
      <c r="Z10" s="94" t="s">
        <v>11</v>
      </c>
      <c r="AA10" s="95" t="s">
        <v>326</v>
      </c>
      <c r="AB10" s="95" t="s">
        <v>25</v>
      </c>
      <c r="AC10" s="95" t="s">
        <v>29</v>
      </c>
      <c r="AD10" s="94" t="s">
        <v>12</v>
      </c>
      <c r="AE10" s="95" t="s">
        <v>24</v>
      </c>
      <c r="AF10" s="95" t="s">
        <v>25</v>
      </c>
      <c r="AG10" s="95" t="s">
        <v>29</v>
      </c>
      <c r="AH10" s="94" t="s">
        <v>13</v>
      </c>
      <c r="AI10" s="95" t="s">
        <v>325</v>
      </c>
      <c r="AJ10" s="95" t="s">
        <v>25</v>
      </c>
      <c r="AK10" s="95" t="s">
        <v>29</v>
      </c>
      <c r="AL10" s="94" t="s">
        <v>14</v>
      </c>
      <c r="AM10" s="95" t="s">
        <v>325</v>
      </c>
      <c r="AN10" s="95" t="s">
        <v>25</v>
      </c>
      <c r="AO10" s="96" t="s">
        <v>29</v>
      </c>
      <c r="AP10" s="170"/>
      <c r="AQ10" s="170"/>
      <c r="AR10" s="158"/>
      <c r="AS10" s="158"/>
      <c r="AT10" s="158"/>
      <c r="AU10" s="159"/>
      <c r="AV10" s="159"/>
      <c r="AW10" s="161"/>
      <c r="AX10" s="161"/>
      <c r="AY10" s="161"/>
      <c r="AZ10" s="166"/>
      <c r="BA10" s="13"/>
      <c r="BB10" s="13"/>
      <c r="BC10" s="13"/>
      <c r="BD10" s="13"/>
      <c r="CA10" s="8"/>
      <c r="CB10" s="8"/>
      <c r="CC10" s="8"/>
      <c r="CD10" s="8"/>
      <c r="CE10" s="8"/>
      <c r="CF10" s="8"/>
      <c r="CG10" s="8"/>
      <c r="CH10" s="8"/>
      <c r="CI10" s="8"/>
    </row>
    <row r="11" spans="1:88" s="63" customFormat="1" ht="69" x14ac:dyDescent="0.25">
      <c r="A11" s="97">
        <v>1</v>
      </c>
      <c r="B11" s="98">
        <v>2</v>
      </c>
      <c r="C11" s="98">
        <v>3</v>
      </c>
      <c r="D11" s="97">
        <v>4</v>
      </c>
      <c r="E11" s="98">
        <v>5</v>
      </c>
      <c r="F11" s="97">
        <v>6</v>
      </c>
      <c r="G11" s="98">
        <v>7</v>
      </c>
      <c r="H11" s="97">
        <v>8</v>
      </c>
      <c r="I11" s="98" t="s">
        <v>30</v>
      </c>
      <c r="J11" s="97">
        <v>6</v>
      </c>
      <c r="K11" s="98">
        <v>7</v>
      </c>
      <c r="L11" s="97">
        <v>8</v>
      </c>
      <c r="M11" s="98" t="s">
        <v>313</v>
      </c>
      <c r="N11" s="97">
        <v>10</v>
      </c>
      <c r="O11" s="98">
        <v>11</v>
      </c>
      <c r="P11" s="97">
        <v>12</v>
      </c>
      <c r="Q11" s="98" t="s">
        <v>314</v>
      </c>
      <c r="R11" s="97">
        <v>14</v>
      </c>
      <c r="S11" s="98">
        <v>15</v>
      </c>
      <c r="T11" s="97">
        <v>16</v>
      </c>
      <c r="U11" s="98" t="s">
        <v>315</v>
      </c>
      <c r="V11" s="97">
        <v>18</v>
      </c>
      <c r="W11" s="98">
        <v>19</v>
      </c>
      <c r="X11" s="97">
        <v>20</v>
      </c>
      <c r="Y11" s="98" t="s">
        <v>316</v>
      </c>
      <c r="Z11" s="97">
        <v>22</v>
      </c>
      <c r="AA11" s="98">
        <v>23</v>
      </c>
      <c r="AB11" s="97">
        <v>24</v>
      </c>
      <c r="AC11" s="98" t="s">
        <v>317</v>
      </c>
      <c r="AD11" s="97">
        <v>30</v>
      </c>
      <c r="AE11" s="98">
        <v>31</v>
      </c>
      <c r="AF11" s="97">
        <v>32</v>
      </c>
      <c r="AG11" s="98" t="s">
        <v>31</v>
      </c>
      <c r="AH11" s="97">
        <v>26</v>
      </c>
      <c r="AI11" s="98">
        <v>27</v>
      </c>
      <c r="AJ11" s="97">
        <v>28</v>
      </c>
      <c r="AK11" s="98" t="s">
        <v>318</v>
      </c>
      <c r="AL11" s="97">
        <v>30</v>
      </c>
      <c r="AM11" s="98">
        <v>31</v>
      </c>
      <c r="AN11" s="97">
        <v>32</v>
      </c>
      <c r="AO11" s="98" t="s">
        <v>319</v>
      </c>
      <c r="AP11" s="97">
        <v>34</v>
      </c>
      <c r="AQ11" s="98" t="s">
        <v>320</v>
      </c>
      <c r="AR11" s="97">
        <v>36</v>
      </c>
      <c r="AS11" s="98">
        <v>37</v>
      </c>
      <c r="AT11" s="97">
        <v>38</v>
      </c>
      <c r="AU11" s="98">
        <v>39</v>
      </c>
      <c r="AV11" s="97">
        <v>40</v>
      </c>
      <c r="AW11" s="98" t="s">
        <v>321</v>
      </c>
      <c r="AX11" s="97" t="s">
        <v>322</v>
      </c>
      <c r="AY11" s="98" t="s">
        <v>323</v>
      </c>
      <c r="AZ11" s="99" t="s">
        <v>324</v>
      </c>
      <c r="BA11" s="78"/>
      <c r="BB11" s="13"/>
      <c r="BC11" s="13"/>
      <c r="BD11" s="13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73"/>
    </row>
    <row r="12" spans="1:88" s="37" customFormat="1" ht="66" customHeight="1" x14ac:dyDescent="0.35">
      <c r="A12" s="151" t="s">
        <v>45</v>
      </c>
      <c r="B12" s="152"/>
      <c r="C12" s="152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5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D12" s="36"/>
      <c r="CE12" s="36"/>
      <c r="CF12" s="36"/>
      <c r="CG12" s="36"/>
      <c r="CH12" s="36"/>
      <c r="CI12" s="36"/>
    </row>
    <row r="13" spans="1:88" s="4" customFormat="1" ht="228.75" outlineLevel="1" x14ac:dyDescent="0.25">
      <c r="A13" s="100">
        <v>1</v>
      </c>
      <c r="B13" s="101" t="s">
        <v>16</v>
      </c>
      <c r="C13" s="102" t="s">
        <v>35</v>
      </c>
      <c r="D13" s="103" t="s">
        <v>19</v>
      </c>
      <c r="E13" s="104">
        <f>F13+J13+N13+R13+V13+Z13+AD13+AH13+AL13</f>
        <v>401.3</v>
      </c>
      <c r="F13" s="105">
        <v>0</v>
      </c>
      <c r="G13" s="105">
        <f t="shared" ref="G13:G74" si="0">H13/1.18</f>
        <v>16.949152542372882</v>
      </c>
      <c r="H13" s="105">
        <v>20</v>
      </c>
      <c r="I13" s="105">
        <f>H13*F13</f>
        <v>0</v>
      </c>
      <c r="J13" s="104">
        <v>0</v>
      </c>
      <c r="K13" s="105">
        <f>L13/1.18</f>
        <v>12.711864406779661</v>
      </c>
      <c r="L13" s="105">
        <v>15</v>
      </c>
      <c r="M13" s="105">
        <f>L13*J13</f>
        <v>0</v>
      </c>
      <c r="N13" s="106">
        <f>177.2+112.3</f>
        <v>289.5</v>
      </c>
      <c r="O13" s="105">
        <f>P13/1.18</f>
        <v>6.6101694915254239</v>
      </c>
      <c r="P13" s="105">
        <v>7.8</v>
      </c>
      <c r="Q13" s="105">
        <f>P13*N13</f>
        <v>2258.1</v>
      </c>
      <c r="R13" s="104">
        <v>0</v>
      </c>
      <c r="S13" s="105">
        <f>T13/1.18</f>
        <v>13.220338983050848</v>
      </c>
      <c r="T13" s="105">
        <v>15.6</v>
      </c>
      <c r="U13" s="105">
        <f>T13*R13</f>
        <v>0</v>
      </c>
      <c r="V13" s="105">
        <v>0</v>
      </c>
      <c r="W13" s="105">
        <f>X13/1.18</f>
        <v>5.9322033898305087</v>
      </c>
      <c r="X13" s="105">
        <v>7</v>
      </c>
      <c r="Y13" s="105">
        <f>X13*V13</f>
        <v>0</v>
      </c>
      <c r="Z13" s="104">
        <f>20.1+17.6+33.4+17.6</f>
        <v>88.699999999999989</v>
      </c>
      <c r="AA13" s="105">
        <f>AB13/1.18</f>
        <v>5.5084745762711869</v>
      </c>
      <c r="AB13" s="105">
        <v>6.5</v>
      </c>
      <c r="AC13" s="105">
        <f>AB13*Z13</f>
        <v>576.54999999999995</v>
      </c>
      <c r="AD13" s="105">
        <v>0</v>
      </c>
      <c r="AE13" s="105">
        <f>AF13/1.18</f>
        <v>4.2372881355932206</v>
      </c>
      <c r="AF13" s="105">
        <v>5</v>
      </c>
      <c r="AG13" s="105">
        <f>AF13*AD13</f>
        <v>0</v>
      </c>
      <c r="AH13" s="106">
        <v>0</v>
      </c>
      <c r="AI13" s="105">
        <f>AJ13/1.18</f>
        <v>9.3220338983050848</v>
      </c>
      <c r="AJ13" s="105">
        <v>11</v>
      </c>
      <c r="AK13" s="105">
        <f>AJ13*AH13</f>
        <v>0</v>
      </c>
      <c r="AL13" s="106">
        <f>9+14.1</f>
        <v>23.1</v>
      </c>
      <c r="AM13" s="105">
        <f>AN13/1.18</f>
        <v>12.711864406779661</v>
      </c>
      <c r="AN13" s="105">
        <v>15</v>
      </c>
      <c r="AO13" s="105">
        <f>AN13*AL13</f>
        <v>346.5</v>
      </c>
      <c r="AP13" s="105">
        <f>AQ13/1.18</f>
        <v>2695.8898305084745</v>
      </c>
      <c r="AQ13" s="105">
        <f>I13+M13+Q13+U13+Y13+AC13+AG13+AK13+AO13</f>
        <v>3181.1499999999996</v>
      </c>
      <c r="AR13" s="106">
        <v>484.6</v>
      </c>
      <c r="AS13" s="105" t="s">
        <v>312</v>
      </c>
      <c r="AT13" s="107">
        <v>0</v>
      </c>
      <c r="AU13" s="107">
        <f>AV13/1.18</f>
        <v>5.0847457627118651</v>
      </c>
      <c r="AV13" s="107">
        <v>6</v>
      </c>
      <c r="AW13" s="107">
        <f>AU13*AR13</f>
        <v>2464.0677966101698</v>
      </c>
      <c r="AX13" s="107">
        <f>AV13*AR13</f>
        <v>2907.6000000000004</v>
      </c>
      <c r="AY13" s="108">
        <f t="shared" ref="AY13:AY76" si="1">AP13+AW13</f>
        <v>5159.9576271186443</v>
      </c>
      <c r="AZ13" s="109">
        <f t="shared" ref="AZ13:AZ76" si="2">AQ13+AX13</f>
        <v>6088.75</v>
      </c>
      <c r="BA13" s="9"/>
      <c r="BB13" s="9"/>
      <c r="BC13" s="9"/>
      <c r="BD13" s="9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</row>
    <row r="14" spans="1:88" s="4" customFormat="1" ht="228.75" outlineLevel="1" x14ac:dyDescent="0.25">
      <c r="A14" s="100">
        <f>A13+1</f>
        <v>2</v>
      </c>
      <c r="B14" s="101" t="s">
        <v>16</v>
      </c>
      <c r="C14" s="102" t="s">
        <v>66</v>
      </c>
      <c r="D14" s="103" t="s">
        <v>19</v>
      </c>
      <c r="E14" s="104">
        <f>F14+J14+N14+R14+V14+Z14+AD14+AH14+AL14</f>
        <v>1660.4100000000003</v>
      </c>
      <c r="F14" s="105">
        <v>0</v>
      </c>
      <c r="G14" s="105">
        <f t="shared" si="0"/>
        <v>16.949152542372882</v>
      </c>
      <c r="H14" s="105">
        <v>20</v>
      </c>
      <c r="I14" s="105">
        <f t="shared" ref="I14:I74" si="3">H14*F14</f>
        <v>0</v>
      </c>
      <c r="J14" s="104">
        <v>508.81</v>
      </c>
      <c r="K14" s="105">
        <f t="shared" ref="K14:K72" si="4">L14/1.18</f>
        <v>12.711864406779661</v>
      </c>
      <c r="L14" s="105">
        <v>15</v>
      </c>
      <c r="M14" s="105">
        <f t="shared" ref="M14:M74" si="5">L14*J14</f>
        <v>7632.15</v>
      </c>
      <c r="N14" s="106">
        <v>429.6</v>
      </c>
      <c r="O14" s="105">
        <f t="shared" ref="O14:O74" si="6">P14/1.18</f>
        <v>6.6101694915254239</v>
      </c>
      <c r="P14" s="105">
        <v>7.8</v>
      </c>
      <c r="Q14" s="105">
        <f t="shared" ref="Q14:Q74" si="7">P14*N14</f>
        <v>3350.88</v>
      </c>
      <c r="R14" s="104">
        <v>0</v>
      </c>
      <c r="S14" s="105">
        <f t="shared" ref="S14:S74" si="8">T14/1.18</f>
        <v>13.220338983050848</v>
      </c>
      <c r="T14" s="105">
        <v>15.6</v>
      </c>
      <c r="U14" s="105">
        <f t="shared" ref="U14:U74" si="9">T14*R14</f>
        <v>0</v>
      </c>
      <c r="V14" s="105">
        <v>0</v>
      </c>
      <c r="W14" s="105">
        <f>X14/1.18</f>
        <v>5.9322033898305087</v>
      </c>
      <c r="X14" s="105">
        <v>7</v>
      </c>
      <c r="Y14" s="105">
        <f t="shared" ref="Y14:Y74" si="10">X14*V14</f>
        <v>0</v>
      </c>
      <c r="Z14" s="104">
        <v>676.6</v>
      </c>
      <c r="AA14" s="105">
        <f t="shared" ref="AA14:AA15" si="11">AB14/1.18</f>
        <v>5.5084745762711869</v>
      </c>
      <c r="AB14" s="105">
        <v>6.5</v>
      </c>
      <c r="AC14" s="105">
        <f t="shared" ref="AC14:AC74" si="12">AB14*Z14</f>
        <v>4397.9000000000005</v>
      </c>
      <c r="AD14" s="105">
        <v>0</v>
      </c>
      <c r="AE14" s="105">
        <f t="shared" ref="AE14:AE15" si="13">AF14/1.18</f>
        <v>4.2372881355932206</v>
      </c>
      <c r="AF14" s="105">
        <v>5</v>
      </c>
      <c r="AG14" s="105">
        <f t="shared" ref="AG14:AG74" si="14">AF14*AD14</f>
        <v>0</v>
      </c>
      <c r="AH14" s="106">
        <v>0</v>
      </c>
      <c r="AI14" s="105">
        <f t="shared" ref="AI14:AI74" si="15">AJ14/1.18</f>
        <v>9.3220338983050848</v>
      </c>
      <c r="AJ14" s="105">
        <v>11</v>
      </c>
      <c r="AK14" s="105">
        <f t="shared" ref="AK14:AK74" si="16">AJ14*AH14</f>
        <v>0</v>
      </c>
      <c r="AL14" s="106">
        <f>5+20.8+19.6</f>
        <v>45.400000000000006</v>
      </c>
      <c r="AM14" s="105">
        <f t="shared" ref="AM14:AM74" si="17">AN14/1.18</f>
        <v>12.711864406779661</v>
      </c>
      <c r="AN14" s="105">
        <v>15</v>
      </c>
      <c r="AO14" s="105">
        <f t="shared" ref="AO14:AO74" si="18">AN14*AL14</f>
        <v>681.00000000000011</v>
      </c>
      <c r="AP14" s="105">
        <f t="shared" ref="AP14:AP77" si="19">AQ14/1.18</f>
        <v>13611.805084745763</v>
      </c>
      <c r="AQ14" s="105">
        <f t="shared" ref="AQ14:AQ77" si="20">I14+M14+Q14+U14+Y14+AC14+AG14+AK14+AO14</f>
        <v>16061.93</v>
      </c>
      <c r="AR14" s="106">
        <f>1901.6</f>
        <v>1901.6</v>
      </c>
      <c r="AS14" s="105" t="s">
        <v>312</v>
      </c>
      <c r="AT14" s="107">
        <v>0</v>
      </c>
      <c r="AU14" s="107">
        <f t="shared" ref="AU14:AU47" si="21">AV14/1.18</f>
        <v>5.0847457627118651</v>
      </c>
      <c r="AV14" s="107">
        <v>6</v>
      </c>
      <c r="AW14" s="107">
        <f>AU14*AR14</f>
        <v>9669.1525423728817</v>
      </c>
      <c r="AX14" s="107">
        <f t="shared" ref="AX14:AX74" si="22">AV14*AR14</f>
        <v>11409.599999999999</v>
      </c>
      <c r="AY14" s="108">
        <f t="shared" si="1"/>
        <v>23280.957627118645</v>
      </c>
      <c r="AZ14" s="109">
        <f t="shared" si="2"/>
        <v>27471.53</v>
      </c>
      <c r="BA14" s="9"/>
      <c r="BB14" s="9"/>
      <c r="BC14" s="9"/>
      <c r="BD14" s="9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</row>
    <row r="15" spans="1:88" s="42" customFormat="1" ht="228.75" outlineLevel="1" x14ac:dyDescent="0.25">
      <c r="A15" s="100">
        <f>A14+1</f>
        <v>3</v>
      </c>
      <c r="B15" s="101" t="s">
        <v>16</v>
      </c>
      <c r="C15" s="102" t="s">
        <v>36</v>
      </c>
      <c r="D15" s="103" t="s">
        <v>19</v>
      </c>
      <c r="E15" s="104">
        <f t="shared" ref="E15:E78" si="23">F15+J15+N15+R15+V15+Z15+AD15+AH15+AL15</f>
        <v>710.30000000000007</v>
      </c>
      <c r="F15" s="105">
        <v>0</v>
      </c>
      <c r="G15" s="105">
        <f t="shared" si="0"/>
        <v>0</v>
      </c>
      <c r="H15" s="105">
        <v>0</v>
      </c>
      <c r="I15" s="105">
        <f t="shared" si="3"/>
        <v>0</v>
      </c>
      <c r="J15" s="104">
        <f>117.3+197.3</f>
        <v>314.60000000000002</v>
      </c>
      <c r="K15" s="105">
        <f t="shared" si="4"/>
        <v>12.711864406779661</v>
      </c>
      <c r="L15" s="105">
        <v>15</v>
      </c>
      <c r="M15" s="105">
        <f t="shared" si="5"/>
        <v>4719</v>
      </c>
      <c r="N15" s="106">
        <v>0</v>
      </c>
      <c r="O15" s="105">
        <f t="shared" si="6"/>
        <v>6.6101694915254239</v>
      </c>
      <c r="P15" s="105">
        <v>7.8</v>
      </c>
      <c r="Q15" s="105">
        <f t="shared" si="7"/>
        <v>0</v>
      </c>
      <c r="R15" s="104">
        <v>0</v>
      </c>
      <c r="S15" s="105">
        <f t="shared" si="8"/>
        <v>13.220338983050848</v>
      </c>
      <c r="T15" s="105">
        <v>15.6</v>
      </c>
      <c r="U15" s="105">
        <f t="shared" si="9"/>
        <v>0</v>
      </c>
      <c r="V15" s="105">
        <v>73.7</v>
      </c>
      <c r="W15" s="105">
        <f>X15/1.18</f>
        <v>5.9322033898305087</v>
      </c>
      <c r="X15" s="105">
        <v>7</v>
      </c>
      <c r="Y15" s="105">
        <f t="shared" si="10"/>
        <v>515.9</v>
      </c>
      <c r="Z15" s="104">
        <f>25+21.8+44.4+25.7+48</f>
        <v>164.89999999999998</v>
      </c>
      <c r="AA15" s="105">
        <f t="shared" si="11"/>
        <v>5.5084745762711869</v>
      </c>
      <c r="AB15" s="105">
        <v>6.5</v>
      </c>
      <c r="AC15" s="105">
        <f t="shared" si="12"/>
        <v>1071.8499999999999</v>
      </c>
      <c r="AD15" s="105">
        <v>0</v>
      </c>
      <c r="AE15" s="105">
        <f t="shared" si="13"/>
        <v>4.2372881355932206</v>
      </c>
      <c r="AF15" s="105">
        <v>5</v>
      </c>
      <c r="AG15" s="105">
        <f t="shared" si="14"/>
        <v>0</v>
      </c>
      <c r="AH15" s="106">
        <f>29+20.7+74.4</f>
        <v>124.10000000000001</v>
      </c>
      <c r="AI15" s="105">
        <f t="shared" si="15"/>
        <v>9.3220338983050848</v>
      </c>
      <c r="AJ15" s="105">
        <v>11</v>
      </c>
      <c r="AK15" s="105">
        <f t="shared" si="16"/>
        <v>1365.1000000000001</v>
      </c>
      <c r="AL15" s="106">
        <f>26+7</f>
        <v>33</v>
      </c>
      <c r="AM15" s="105">
        <f t="shared" si="17"/>
        <v>12.711864406779661</v>
      </c>
      <c r="AN15" s="105">
        <v>15</v>
      </c>
      <c r="AO15" s="105">
        <f t="shared" si="18"/>
        <v>495</v>
      </c>
      <c r="AP15" s="105">
        <f t="shared" si="19"/>
        <v>6921.0593220338988</v>
      </c>
      <c r="AQ15" s="105">
        <f t="shared" si="20"/>
        <v>8166.85</v>
      </c>
      <c r="AR15" s="106">
        <v>0</v>
      </c>
      <c r="AS15" s="105" t="s">
        <v>312</v>
      </c>
      <c r="AT15" s="107">
        <v>0</v>
      </c>
      <c r="AU15" s="107">
        <f t="shared" si="21"/>
        <v>5.0847457627118651</v>
      </c>
      <c r="AV15" s="107">
        <v>6</v>
      </c>
      <c r="AW15" s="107">
        <f t="shared" ref="AW15" si="24">AU15*AR15</f>
        <v>0</v>
      </c>
      <c r="AX15" s="107">
        <f t="shared" si="22"/>
        <v>0</v>
      </c>
      <c r="AY15" s="108">
        <f t="shared" si="1"/>
        <v>6921.0593220338988</v>
      </c>
      <c r="AZ15" s="109">
        <f t="shared" si="2"/>
        <v>8166.85</v>
      </c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</row>
    <row r="16" spans="1:88" s="4" customFormat="1" ht="228.75" outlineLevel="1" x14ac:dyDescent="0.25">
      <c r="A16" s="100">
        <f>A15+1</f>
        <v>4</v>
      </c>
      <c r="B16" s="101" t="s">
        <v>16</v>
      </c>
      <c r="C16" s="102" t="s">
        <v>37</v>
      </c>
      <c r="D16" s="103" t="s">
        <v>19</v>
      </c>
      <c r="E16" s="104">
        <f t="shared" si="23"/>
        <v>2832.0400000000004</v>
      </c>
      <c r="F16" s="105">
        <v>0</v>
      </c>
      <c r="G16" s="105">
        <f t="shared" si="0"/>
        <v>16.949152542372882</v>
      </c>
      <c r="H16" s="105">
        <v>20</v>
      </c>
      <c r="I16" s="105">
        <f t="shared" si="3"/>
        <v>0</v>
      </c>
      <c r="J16" s="104">
        <v>1065.5999999999999</v>
      </c>
      <c r="K16" s="105">
        <f t="shared" si="4"/>
        <v>12.711864406779661</v>
      </c>
      <c r="L16" s="105">
        <v>15</v>
      </c>
      <c r="M16" s="105">
        <f t="shared" si="5"/>
        <v>15983.999999999998</v>
      </c>
      <c r="N16" s="106">
        <v>1133.5999999999999</v>
      </c>
      <c r="O16" s="105">
        <f t="shared" si="6"/>
        <v>6.6101694915254239</v>
      </c>
      <c r="P16" s="105">
        <v>7.8</v>
      </c>
      <c r="Q16" s="105">
        <f t="shared" si="7"/>
        <v>8842.08</v>
      </c>
      <c r="R16" s="104">
        <v>0</v>
      </c>
      <c r="S16" s="105">
        <f t="shared" si="8"/>
        <v>13.220338983050848</v>
      </c>
      <c r="T16" s="105">
        <v>15.6</v>
      </c>
      <c r="U16" s="105">
        <f t="shared" si="9"/>
        <v>0</v>
      </c>
      <c r="V16" s="105">
        <v>213.9</v>
      </c>
      <c r="W16" s="105">
        <f>X16/1.18</f>
        <v>5.9322033898305087</v>
      </c>
      <c r="X16" s="105">
        <v>7</v>
      </c>
      <c r="Y16" s="105">
        <f t="shared" si="10"/>
        <v>1497.3</v>
      </c>
      <c r="Z16" s="104">
        <v>362.74</v>
      </c>
      <c r="AA16" s="105">
        <f t="shared" ref="AA16:AA74" si="25">AB16/1.18</f>
        <v>5.5084745762711869</v>
      </c>
      <c r="AB16" s="105">
        <v>6.5</v>
      </c>
      <c r="AC16" s="105">
        <f t="shared" si="12"/>
        <v>2357.81</v>
      </c>
      <c r="AD16" s="105">
        <v>0</v>
      </c>
      <c r="AE16" s="105">
        <f t="shared" ref="AE16:AE74" si="26">AF16/1.18</f>
        <v>4.2372881355932206</v>
      </c>
      <c r="AF16" s="105">
        <v>5</v>
      </c>
      <c r="AG16" s="105">
        <f t="shared" si="14"/>
        <v>0</v>
      </c>
      <c r="AH16" s="106">
        <v>19.3</v>
      </c>
      <c r="AI16" s="105">
        <f t="shared" si="15"/>
        <v>9.3220338983050848</v>
      </c>
      <c r="AJ16" s="105">
        <v>11</v>
      </c>
      <c r="AK16" s="105">
        <f t="shared" si="16"/>
        <v>212.3</v>
      </c>
      <c r="AL16" s="106">
        <v>36.9</v>
      </c>
      <c r="AM16" s="105">
        <f t="shared" si="17"/>
        <v>12.711864406779661</v>
      </c>
      <c r="AN16" s="105">
        <v>15</v>
      </c>
      <c r="AO16" s="105">
        <f t="shared" si="18"/>
        <v>553.5</v>
      </c>
      <c r="AP16" s="105">
        <f t="shared" si="19"/>
        <v>24955.076271186441</v>
      </c>
      <c r="AQ16" s="105">
        <f t="shared" si="20"/>
        <v>29446.989999999998</v>
      </c>
      <c r="AR16" s="106">
        <f>1733.2</f>
        <v>1733.2</v>
      </c>
      <c r="AS16" s="105" t="s">
        <v>312</v>
      </c>
      <c r="AT16" s="107">
        <v>0</v>
      </c>
      <c r="AU16" s="107">
        <f t="shared" si="21"/>
        <v>5.0847457627118651</v>
      </c>
      <c r="AV16" s="107">
        <v>6</v>
      </c>
      <c r="AW16" s="107">
        <f t="shared" ref="AW16:AW75" si="27">AU16*AR16</f>
        <v>8812.8813559322043</v>
      </c>
      <c r="AX16" s="107">
        <f t="shared" si="22"/>
        <v>10399.200000000001</v>
      </c>
      <c r="AY16" s="108">
        <f t="shared" si="1"/>
        <v>33767.957627118645</v>
      </c>
      <c r="AZ16" s="109">
        <f t="shared" si="2"/>
        <v>39846.19</v>
      </c>
      <c r="BA16" s="9"/>
      <c r="BB16" s="9"/>
      <c r="BC16" s="9"/>
      <c r="BD16" s="9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</row>
    <row r="17" spans="1:93" s="4" customFormat="1" ht="228.75" outlineLevel="1" x14ac:dyDescent="0.25">
      <c r="A17" s="100">
        <f t="shared" ref="A17:A29" si="28">A16+1</f>
        <v>5</v>
      </c>
      <c r="B17" s="101" t="s">
        <v>16</v>
      </c>
      <c r="C17" s="102" t="s">
        <v>47</v>
      </c>
      <c r="D17" s="103" t="s">
        <v>19</v>
      </c>
      <c r="E17" s="104">
        <f t="shared" si="23"/>
        <v>4389.8999999999996</v>
      </c>
      <c r="F17" s="105">
        <v>0</v>
      </c>
      <c r="G17" s="105">
        <f t="shared" si="0"/>
        <v>16.949152542372882</v>
      </c>
      <c r="H17" s="105">
        <v>20</v>
      </c>
      <c r="I17" s="105">
        <f t="shared" si="3"/>
        <v>0</v>
      </c>
      <c r="J17" s="104">
        <v>2641</v>
      </c>
      <c r="K17" s="105">
        <f t="shared" si="4"/>
        <v>12.711864406779661</v>
      </c>
      <c r="L17" s="105">
        <v>15</v>
      </c>
      <c r="M17" s="105">
        <f t="shared" si="5"/>
        <v>39615</v>
      </c>
      <c r="N17" s="106">
        <v>814.1</v>
      </c>
      <c r="O17" s="105">
        <f t="shared" si="6"/>
        <v>6.6101694915254239</v>
      </c>
      <c r="P17" s="105">
        <v>7.8</v>
      </c>
      <c r="Q17" s="105">
        <f t="shared" si="7"/>
        <v>6349.9800000000005</v>
      </c>
      <c r="R17" s="104">
        <v>0</v>
      </c>
      <c r="S17" s="105">
        <f t="shared" si="8"/>
        <v>13.220338983050848</v>
      </c>
      <c r="T17" s="105">
        <v>15.6</v>
      </c>
      <c r="U17" s="105">
        <f t="shared" si="9"/>
        <v>0</v>
      </c>
      <c r="V17" s="105">
        <v>0</v>
      </c>
      <c r="W17" s="105">
        <f t="shared" ref="W17" si="29">X17/1.18</f>
        <v>5.9322033898305087</v>
      </c>
      <c r="X17" s="105">
        <v>7</v>
      </c>
      <c r="Y17" s="105">
        <f t="shared" si="10"/>
        <v>0</v>
      </c>
      <c r="Z17" s="104">
        <f>157.6+26+324+324</f>
        <v>831.6</v>
      </c>
      <c r="AA17" s="105">
        <f t="shared" si="25"/>
        <v>5.5084745762711869</v>
      </c>
      <c r="AB17" s="105">
        <v>6.5</v>
      </c>
      <c r="AC17" s="105">
        <f t="shared" si="12"/>
        <v>5405.4000000000005</v>
      </c>
      <c r="AD17" s="105">
        <v>0</v>
      </c>
      <c r="AE17" s="105">
        <f t="shared" si="26"/>
        <v>4.2372881355932206</v>
      </c>
      <c r="AF17" s="105">
        <v>5</v>
      </c>
      <c r="AG17" s="105">
        <f t="shared" si="14"/>
        <v>0</v>
      </c>
      <c r="AH17" s="106">
        <v>18</v>
      </c>
      <c r="AI17" s="105">
        <f t="shared" si="15"/>
        <v>9.3220338983050848</v>
      </c>
      <c r="AJ17" s="105">
        <v>11</v>
      </c>
      <c r="AK17" s="105">
        <f t="shared" si="16"/>
        <v>198</v>
      </c>
      <c r="AL17" s="106">
        <f>13.2+72</f>
        <v>85.2</v>
      </c>
      <c r="AM17" s="105">
        <f t="shared" si="17"/>
        <v>12.711864406779661</v>
      </c>
      <c r="AN17" s="105">
        <v>15</v>
      </c>
      <c r="AO17" s="105">
        <f t="shared" si="18"/>
        <v>1278</v>
      </c>
      <c r="AP17" s="105">
        <f t="shared" si="19"/>
        <v>44785.067796610179</v>
      </c>
      <c r="AQ17" s="105">
        <f t="shared" si="20"/>
        <v>52846.380000000005</v>
      </c>
      <c r="AR17" s="106">
        <v>1700</v>
      </c>
      <c r="AS17" s="105" t="s">
        <v>312</v>
      </c>
      <c r="AT17" s="107">
        <v>0</v>
      </c>
      <c r="AU17" s="107">
        <f t="shared" si="21"/>
        <v>5.0847457627118651</v>
      </c>
      <c r="AV17" s="107">
        <v>6</v>
      </c>
      <c r="AW17" s="107">
        <f t="shared" si="27"/>
        <v>8644.0677966101703</v>
      </c>
      <c r="AX17" s="107">
        <f t="shared" si="22"/>
        <v>10200</v>
      </c>
      <c r="AY17" s="108">
        <f t="shared" si="1"/>
        <v>53429.135593220351</v>
      </c>
      <c r="AZ17" s="109">
        <f t="shared" si="2"/>
        <v>63046.380000000005</v>
      </c>
      <c r="BA17" s="9"/>
      <c r="BB17" s="9"/>
      <c r="BC17" s="9"/>
      <c r="BD17" s="9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</row>
    <row r="18" spans="1:93" s="4" customFormat="1" ht="228.75" outlineLevel="1" x14ac:dyDescent="0.25">
      <c r="A18" s="100">
        <f t="shared" si="28"/>
        <v>6</v>
      </c>
      <c r="B18" s="101" t="s">
        <v>16</v>
      </c>
      <c r="C18" s="102" t="s">
        <v>38</v>
      </c>
      <c r="D18" s="103" t="s">
        <v>19</v>
      </c>
      <c r="E18" s="104">
        <f t="shared" si="23"/>
        <v>5230.2</v>
      </c>
      <c r="F18" s="105">
        <v>0</v>
      </c>
      <c r="G18" s="105">
        <f t="shared" si="0"/>
        <v>16.949152542372882</v>
      </c>
      <c r="H18" s="105">
        <v>20</v>
      </c>
      <c r="I18" s="105">
        <f t="shared" si="3"/>
        <v>0</v>
      </c>
      <c r="J18" s="104">
        <v>2175</v>
      </c>
      <c r="K18" s="105">
        <f t="shared" si="4"/>
        <v>12.711864406779661</v>
      </c>
      <c r="L18" s="105">
        <v>15</v>
      </c>
      <c r="M18" s="105">
        <f t="shared" si="5"/>
        <v>32625</v>
      </c>
      <c r="N18" s="106">
        <v>628.20000000000005</v>
      </c>
      <c r="O18" s="105">
        <f t="shared" si="6"/>
        <v>6.6101694915254239</v>
      </c>
      <c r="P18" s="105">
        <v>7.8</v>
      </c>
      <c r="Q18" s="105">
        <f t="shared" si="7"/>
        <v>4899.96</v>
      </c>
      <c r="R18" s="104">
        <v>0</v>
      </c>
      <c r="S18" s="105">
        <f t="shared" si="8"/>
        <v>13.220338983050848</v>
      </c>
      <c r="T18" s="105">
        <v>15.6</v>
      </c>
      <c r="U18" s="105">
        <f t="shared" si="9"/>
        <v>0</v>
      </c>
      <c r="V18" s="105">
        <v>488</v>
      </c>
      <c r="W18" s="105">
        <v>4.2</v>
      </c>
      <c r="X18" s="105">
        <v>7</v>
      </c>
      <c r="Y18" s="105">
        <f t="shared" si="10"/>
        <v>3416</v>
      </c>
      <c r="Z18" s="104">
        <v>1784.7</v>
      </c>
      <c r="AA18" s="105">
        <f t="shared" si="25"/>
        <v>5.5084745762711869</v>
      </c>
      <c r="AB18" s="105">
        <v>6.5</v>
      </c>
      <c r="AC18" s="105">
        <f t="shared" si="12"/>
        <v>11600.550000000001</v>
      </c>
      <c r="AD18" s="105">
        <v>0</v>
      </c>
      <c r="AE18" s="105">
        <f t="shared" si="26"/>
        <v>4.2372881355932206</v>
      </c>
      <c r="AF18" s="105">
        <v>5</v>
      </c>
      <c r="AG18" s="105">
        <f t="shared" si="14"/>
        <v>0</v>
      </c>
      <c r="AH18" s="106">
        <v>9</v>
      </c>
      <c r="AI18" s="105">
        <f t="shared" si="15"/>
        <v>9.3220338983050848</v>
      </c>
      <c r="AJ18" s="105">
        <v>11</v>
      </c>
      <c r="AK18" s="105">
        <f t="shared" si="16"/>
        <v>99</v>
      </c>
      <c r="AL18" s="106">
        <v>145.30000000000001</v>
      </c>
      <c r="AM18" s="105">
        <f t="shared" si="17"/>
        <v>12.711864406779661</v>
      </c>
      <c r="AN18" s="105">
        <v>15</v>
      </c>
      <c r="AO18" s="105">
        <f t="shared" si="18"/>
        <v>2179.5</v>
      </c>
      <c r="AP18" s="105">
        <f t="shared" si="19"/>
        <v>46457.635593220344</v>
      </c>
      <c r="AQ18" s="105">
        <f t="shared" si="20"/>
        <v>54820.01</v>
      </c>
      <c r="AR18" s="106">
        <v>3950</v>
      </c>
      <c r="AS18" s="105" t="s">
        <v>312</v>
      </c>
      <c r="AT18" s="107">
        <v>0</v>
      </c>
      <c r="AU18" s="107">
        <f t="shared" si="21"/>
        <v>5.0847457627118651</v>
      </c>
      <c r="AV18" s="107">
        <v>6</v>
      </c>
      <c r="AW18" s="107">
        <f t="shared" si="27"/>
        <v>20084.745762711867</v>
      </c>
      <c r="AX18" s="107">
        <f t="shared" si="22"/>
        <v>23700</v>
      </c>
      <c r="AY18" s="108">
        <f t="shared" si="1"/>
        <v>66542.381355932215</v>
      </c>
      <c r="AZ18" s="109">
        <f t="shared" si="2"/>
        <v>78520.010000000009</v>
      </c>
      <c r="BA18" s="9"/>
      <c r="BB18" s="9"/>
      <c r="BC18" s="9"/>
      <c r="BD18" s="9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</row>
    <row r="19" spans="1:93" s="42" customFormat="1" ht="228.75" outlineLevel="1" x14ac:dyDescent="0.25">
      <c r="A19" s="100">
        <f t="shared" si="28"/>
        <v>7</v>
      </c>
      <c r="B19" s="101" t="s">
        <v>16</v>
      </c>
      <c r="C19" s="102" t="s">
        <v>290</v>
      </c>
      <c r="D19" s="103" t="s">
        <v>19</v>
      </c>
      <c r="E19" s="104">
        <f t="shared" si="23"/>
        <v>5640.6</v>
      </c>
      <c r="F19" s="105">
        <v>0</v>
      </c>
      <c r="G19" s="105">
        <f t="shared" si="0"/>
        <v>0</v>
      </c>
      <c r="H19" s="105">
        <v>0</v>
      </c>
      <c r="I19" s="105">
        <f t="shared" si="3"/>
        <v>0</v>
      </c>
      <c r="J19" s="104">
        <f>282.3+337.8+294.4+187.1+742.4+256.4</f>
        <v>2100.4</v>
      </c>
      <c r="K19" s="105">
        <f t="shared" si="4"/>
        <v>12.711864406779661</v>
      </c>
      <c r="L19" s="105">
        <v>15</v>
      </c>
      <c r="M19" s="105">
        <f t="shared" si="5"/>
        <v>31506</v>
      </c>
      <c r="N19" s="106">
        <f>162.5+181.1+29.9+45.9</f>
        <v>419.4</v>
      </c>
      <c r="O19" s="105">
        <f t="shared" si="6"/>
        <v>6.6101694915254239</v>
      </c>
      <c r="P19" s="105">
        <v>7.8</v>
      </c>
      <c r="Q19" s="105">
        <f t="shared" si="7"/>
        <v>3271.3199999999997</v>
      </c>
      <c r="R19" s="104">
        <v>0</v>
      </c>
      <c r="S19" s="105">
        <f t="shared" si="8"/>
        <v>13.220338983050848</v>
      </c>
      <c r="T19" s="105">
        <v>15.6</v>
      </c>
      <c r="U19" s="105">
        <f t="shared" si="9"/>
        <v>0</v>
      </c>
      <c r="V19" s="105">
        <f>49.7+45+34.3</f>
        <v>129</v>
      </c>
      <c r="W19" s="105">
        <v>4.2</v>
      </c>
      <c r="X19" s="105">
        <v>7</v>
      </c>
      <c r="Y19" s="105">
        <f t="shared" si="10"/>
        <v>903</v>
      </c>
      <c r="Z19" s="104">
        <f>196.6+6.5+184.7+26.2+50.9+26.4+600.4+149.5+397.2+26.4+38.2+26.4+24.8+26.4+250</f>
        <v>2030.6000000000001</v>
      </c>
      <c r="AA19" s="105">
        <f t="shared" si="25"/>
        <v>5.5084745762711869</v>
      </c>
      <c r="AB19" s="105">
        <v>6.5</v>
      </c>
      <c r="AC19" s="105">
        <f t="shared" si="12"/>
        <v>13198.900000000001</v>
      </c>
      <c r="AD19" s="105">
        <v>0</v>
      </c>
      <c r="AE19" s="105">
        <f t="shared" si="26"/>
        <v>4.2372881355932206</v>
      </c>
      <c r="AF19" s="105">
        <v>5</v>
      </c>
      <c r="AG19" s="105">
        <f t="shared" si="14"/>
        <v>0</v>
      </c>
      <c r="AH19" s="106">
        <f>866.9</f>
        <v>866.9</v>
      </c>
      <c r="AI19" s="105">
        <f t="shared" si="15"/>
        <v>9.3220338983050848</v>
      </c>
      <c r="AJ19" s="105">
        <v>11</v>
      </c>
      <c r="AK19" s="105">
        <f t="shared" si="16"/>
        <v>9535.9</v>
      </c>
      <c r="AL19" s="106">
        <f>25.8+12+12.2+11.5+11.8+21</f>
        <v>94.3</v>
      </c>
      <c r="AM19" s="105">
        <f t="shared" si="17"/>
        <v>12.711864406779661</v>
      </c>
      <c r="AN19" s="105">
        <v>15</v>
      </c>
      <c r="AO19" s="105">
        <f t="shared" si="18"/>
        <v>1414.5</v>
      </c>
      <c r="AP19" s="105">
        <f t="shared" si="19"/>
        <v>50703.067796610172</v>
      </c>
      <c r="AQ19" s="105">
        <f t="shared" si="20"/>
        <v>59829.62</v>
      </c>
      <c r="AR19" s="106">
        <v>2625</v>
      </c>
      <c r="AS19" s="105" t="s">
        <v>312</v>
      </c>
      <c r="AT19" s="107">
        <v>0</v>
      </c>
      <c r="AU19" s="107">
        <f t="shared" si="21"/>
        <v>5.0847457627118651</v>
      </c>
      <c r="AV19" s="107">
        <v>6</v>
      </c>
      <c r="AW19" s="107">
        <f t="shared" si="27"/>
        <v>13347.457627118645</v>
      </c>
      <c r="AX19" s="107">
        <f t="shared" si="22"/>
        <v>15750</v>
      </c>
      <c r="AY19" s="108">
        <f t="shared" si="1"/>
        <v>64050.525423728817</v>
      </c>
      <c r="AZ19" s="109">
        <f t="shared" si="2"/>
        <v>75579.62</v>
      </c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</row>
    <row r="20" spans="1:93" s="4" customFormat="1" ht="228.75" outlineLevel="1" x14ac:dyDescent="0.25">
      <c r="A20" s="100">
        <f t="shared" si="28"/>
        <v>8</v>
      </c>
      <c r="B20" s="101" t="s">
        <v>16</v>
      </c>
      <c r="C20" s="102" t="s">
        <v>291</v>
      </c>
      <c r="D20" s="103" t="s">
        <v>19</v>
      </c>
      <c r="E20" s="104">
        <f t="shared" si="23"/>
        <v>4899.6499999999996</v>
      </c>
      <c r="F20" s="105">
        <v>0</v>
      </c>
      <c r="G20" s="105">
        <f t="shared" si="0"/>
        <v>16.949152542372882</v>
      </c>
      <c r="H20" s="105">
        <v>20</v>
      </c>
      <c r="I20" s="105">
        <f t="shared" si="3"/>
        <v>0</v>
      </c>
      <c r="J20" s="104">
        <f>118.75+531.6+577.7+644.5+757.7+87.5</f>
        <v>2717.75</v>
      </c>
      <c r="K20" s="105">
        <f t="shared" si="4"/>
        <v>12.711864406779661</v>
      </c>
      <c r="L20" s="105">
        <v>15</v>
      </c>
      <c r="M20" s="105">
        <f t="shared" si="5"/>
        <v>40766.25</v>
      </c>
      <c r="N20" s="106">
        <f>82.7+29.3+46+163.6+42.2+84.9</f>
        <v>448.70000000000005</v>
      </c>
      <c r="O20" s="105">
        <f t="shared" si="6"/>
        <v>6.6101694915254239</v>
      </c>
      <c r="P20" s="105">
        <v>7.8</v>
      </c>
      <c r="Q20" s="105">
        <f t="shared" si="7"/>
        <v>3499.86</v>
      </c>
      <c r="R20" s="104">
        <v>0</v>
      </c>
      <c r="S20" s="105">
        <f t="shared" si="8"/>
        <v>13.220338983050848</v>
      </c>
      <c r="T20" s="105">
        <v>15.6</v>
      </c>
      <c r="U20" s="105">
        <f t="shared" si="9"/>
        <v>0</v>
      </c>
      <c r="V20" s="105">
        <v>0</v>
      </c>
      <c r="W20" s="105">
        <f t="shared" ref="W20:W21" si="30">X20/1.18</f>
        <v>5.9322033898305087</v>
      </c>
      <c r="X20" s="105">
        <v>7</v>
      </c>
      <c r="Y20" s="105">
        <f t="shared" si="10"/>
        <v>0</v>
      </c>
      <c r="Z20" s="104">
        <f>30.2+82.9+274.5+25.9+106+21+189.2+104.3+191.5+47.5+200.3+47.5+195.5+47.5+36.6</f>
        <v>1600.3999999999999</v>
      </c>
      <c r="AA20" s="105">
        <f t="shared" si="25"/>
        <v>5.5084745762711869</v>
      </c>
      <c r="AB20" s="105">
        <v>6.5</v>
      </c>
      <c r="AC20" s="105">
        <f t="shared" si="12"/>
        <v>10402.599999999999</v>
      </c>
      <c r="AD20" s="105">
        <v>0</v>
      </c>
      <c r="AE20" s="105">
        <f t="shared" si="26"/>
        <v>4.2372881355932206</v>
      </c>
      <c r="AF20" s="105">
        <v>5</v>
      </c>
      <c r="AG20" s="105">
        <f t="shared" si="14"/>
        <v>0</v>
      </c>
      <c r="AH20" s="106">
        <f>20.2</f>
        <v>20.2</v>
      </c>
      <c r="AI20" s="105">
        <f t="shared" si="15"/>
        <v>9.3220338983050848</v>
      </c>
      <c r="AJ20" s="105">
        <v>11</v>
      </c>
      <c r="AK20" s="105">
        <f t="shared" si="16"/>
        <v>222.2</v>
      </c>
      <c r="AL20" s="106">
        <f>5.2+21.2+20.7+32.3+33.2</f>
        <v>112.6</v>
      </c>
      <c r="AM20" s="105">
        <f t="shared" si="17"/>
        <v>12.711864406779661</v>
      </c>
      <c r="AN20" s="105">
        <v>15</v>
      </c>
      <c r="AO20" s="105">
        <f t="shared" si="18"/>
        <v>1689</v>
      </c>
      <c r="AP20" s="105">
        <f t="shared" si="19"/>
        <v>47949.076271186437</v>
      </c>
      <c r="AQ20" s="105">
        <f t="shared" si="20"/>
        <v>56579.909999999996</v>
      </c>
      <c r="AR20" s="106">
        <v>0</v>
      </c>
      <c r="AS20" s="105" t="s">
        <v>312</v>
      </c>
      <c r="AT20" s="107">
        <v>0</v>
      </c>
      <c r="AU20" s="107">
        <f t="shared" si="21"/>
        <v>5.0847457627118651</v>
      </c>
      <c r="AV20" s="107">
        <v>6</v>
      </c>
      <c r="AW20" s="107">
        <f t="shared" si="27"/>
        <v>0</v>
      </c>
      <c r="AX20" s="107">
        <f t="shared" si="22"/>
        <v>0</v>
      </c>
      <c r="AY20" s="108">
        <f t="shared" si="1"/>
        <v>47949.076271186437</v>
      </c>
      <c r="AZ20" s="109">
        <f t="shared" si="2"/>
        <v>56579.909999999996</v>
      </c>
      <c r="BA20" s="9"/>
      <c r="BB20" s="9"/>
      <c r="BC20" s="9"/>
      <c r="BD20" s="9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</row>
    <row r="21" spans="1:93" s="42" customFormat="1" ht="320.25" outlineLevel="1" x14ac:dyDescent="0.25">
      <c r="A21" s="100">
        <f t="shared" si="28"/>
        <v>9</v>
      </c>
      <c r="B21" s="101" t="s">
        <v>16</v>
      </c>
      <c r="C21" s="102" t="s">
        <v>294</v>
      </c>
      <c r="D21" s="103" t="s">
        <v>19</v>
      </c>
      <c r="E21" s="104">
        <f t="shared" si="23"/>
        <v>2056.2999999999997</v>
      </c>
      <c r="F21" s="105">
        <v>0</v>
      </c>
      <c r="G21" s="105">
        <f t="shared" si="0"/>
        <v>16.949152542372882</v>
      </c>
      <c r="H21" s="105">
        <v>20</v>
      </c>
      <c r="I21" s="105">
        <f t="shared" si="3"/>
        <v>0</v>
      </c>
      <c r="J21" s="104">
        <v>52.1</v>
      </c>
      <c r="K21" s="105">
        <f t="shared" si="4"/>
        <v>12.711864406779661</v>
      </c>
      <c r="L21" s="105">
        <v>15</v>
      </c>
      <c r="M21" s="105">
        <f t="shared" si="5"/>
        <v>781.5</v>
      </c>
      <c r="N21" s="106">
        <v>1328.5</v>
      </c>
      <c r="O21" s="105">
        <f t="shared" si="6"/>
        <v>6.6101694915254239</v>
      </c>
      <c r="P21" s="105">
        <v>7.8</v>
      </c>
      <c r="Q21" s="105">
        <f t="shared" si="7"/>
        <v>10362.299999999999</v>
      </c>
      <c r="R21" s="104">
        <v>0</v>
      </c>
      <c r="S21" s="105">
        <f t="shared" si="8"/>
        <v>13.220338983050848</v>
      </c>
      <c r="T21" s="105">
        <v>15.6</v>
      </c>
      <c r="U21" s="105">
        <f t="shared" si="9"/>
        <v>0</v>
      </c>
      <c r="V21" s="105">
        <f>56.6</f>
        <v>56.6</v>
      </c>
      <c r="W21" s="105">
        <f t="shared" si="30"/>
        <v>5.9322033898305087</v>
      </c>
      <c r="X21" s="105">
        <v>7</v>
      </c>
      <c r="Y21" s="105">
        <f t="shared" si="10"/>
        <v>396.2</v>
      </c>
      <c r="Z21" s="104">
        <v>593.5</v>
      </c>
      <c r="AA21" s="105">
        <f t="shared" si="25"/>
        <v>5.5084745762711869</v>
      </c>
      <c r="AB21" s="105">
        <v>6.5</v>
      </c>
      <c r="AC21" s="105">
        <f t="shared" si="12"/>
        <v>3857.75</v>
      </c>
      <c r="AD21" s="105">
        <v>0</v>
      </c>
      <c r="AE21" s="105">
        <f t="shared" si="26"/>
        <v>4.2372881355932206</v>
      </c>
      <c r="AF21" s="105">
        <v>5</v>
      </c>
      <c r="AG21" s="105">
        <f t="shared" si="14"/>
        <v>0</v>
      </c>
      <c r="AH21" s="106">
        <v>0</v>
      </c>
      <c r="AI21" s="105">
        <f t="shared" si="15"/>
        <v>9.3220338983050848</v>
      </c>
      <c r="AJ21" s="105">
        <v>11</v>
      </c>
      <c r="AK21" s="105">
        <f t="shared" si="16"/>
        <v>0</v>
      </c>
      <c r="AL21" s="106">
        <f>6.3+9.2+10.1</f>
        <v>25.6</v>
      </c>
      <c r="AM21" s="105">
        <f t="shared" si="17"/>
        <v>12.711864406779661</v>
      </c>
      <c r="AN21" s="105">
        <v>15</v>
      </c>
      <c r="AO21" s="105">
        <f t="shared" si="18"/>
        <v>384</v>
      </c>
      <c r="AP21" s="105">
        <f t="shared" si="19"/>
        <v>13374.364406779661</v>
      </c>
      <c r="AQ21" s="105">
        <f t="shared" si="20"/>
        <v>15781.75</v>
      </c>
      <c r="AR21" s="106">
        <v>1980</v>
      </c>
      <c r="AS21" s="105" t="s">
        <v>312</v>
      </c>
      <c r="AT21" s="107">
        <v>0</v>
      </c>
      <c r="AU21" s="107">
        <f t="shared" si="21"/>
        <v>5.0847457627118651</v>
      </c>
      <c r="AV21" s="107">
        <v>6</v>
      </c>
      <c r="AW21" s="107">
        <f t="shared" si="27"/>
        <v>10067.796610169493</v>
      </c>
      <c r="AX21" s="107">
        <f t="shared" si="22"/>
        <v>11880</v>
      </c>
      <c r="AY21" s="108">
        <f t="shared" si="1"/>
        <v>23442.161016949154</v>
      </c>
      <c r="AZ21" s="109">
        <f t="shared" si="2"/>
        <v>27661.75</v>
      </c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</row>
    <row r="22" spans="1:93" s="4" customFormat="1" ht="228.75" outlineLevel="1" x14ac:dyDescent="0.25">
      <c r="A22" s="100">
        <f t="shared" si="28"/>
        <v>10</v>
      </c>
      <c r="B22" s="101" t="s">
        <v>16</v>
      </c>
      <c r="C22" s="102" t="s">
        <v>39</v>
      </c>
      <c r="D22" s="103" t="s">
        <v>19</v>
      </c>
      <c r="E22" s="104">
        <f t="shared" si="23"/>
        <v>1997</v>
      </c>
      <c r="F22" s="105">
        <v>0</v>
      </c>
      <c r="G22" s="105">
        <f t="shared" si="0"/>
        <v>16.949152542372882</v>
      </c>
      <c r="H22" s="105">
        <v>20</v>
      </c>
      <c r="I22" s="105">
        <f t="shared" si="3"/>
        <v>0</v>
      </c>
      <c r="J22" s="104">
        <f>165.6+35.9+36.6</f>
        <v>238.1</v>
      </c>
      <c r="K22" s="105">
        <f t="shared" si="4"/>
        <v>12.711864406779661</v>
      </c>
      <c r="L22" s="105">
        <v>15</v>
      </c>
      <c r="M22" s="105">
        <f t="shared" si="5"/>
        <v>3571.5</v>
      </c>
      <c r="N22" s="106">
        <f>334.1+288+56.8+567.1+43.5</f>
        <v>1289.5</v>
      </c>
      <c r="O22" s="105">
        <f t="shared" si="6"/>
        <v>6.6101694915254239</v>
      </c>
      <c r="P22" s="105">
        <v>7.8</v>
      </c>
      <c r="Q22" s="105">
        <f t="shared" si="7"/>
        <v>10058.1</v>
      </c>
      <c r="R22" s="104">
        <v>0</v>
      </c>
      <c r="S22" s="105">
        <f t="shared" si="8"/>
        <v>13.220338983050848</v>
      </c>
      <c r="T22" s="105">
        <v>15.6</v>
      </c>
      <c r="U22" s="105">
        <f t="shared" si="9"/>
        <v>0</v>
      </c>
      <c r="V22" s="105">
        <f>14.9+35</f>
        <v>49.9</v>
      </c>
      <c r="W22" s="105">
        <f t="shared" ref="W22:W24" si="31">X22/1.18</f>
        <v>5.9322033898305087</v>
      </c>
      <c r="X22" s="105">
        <v>7</v>
      </c>
      <c r="Y22" s="105">
        <f t="shared" si="10"/>
        <v>349.3</v>
      </c>
      <c r="Z22" s="104">
        <f>43.9+129+30.7+19.1+30.4+111.8+30.4</f>
        <v>395.29999999999995</v>
      </c>
      <c r="AA22" s="105">
        <f t="shared" si="25"/>
        <v>5.5084745762711869</v>
      </c>
      <c r="AB22" s="105">
        <v>6.5</v>
      </c>
      <c r="AC22" s="105">
        <f t="shared" si="12"/>
        <v>2569.4499999999998</v>
      </c>
      <c r="AD22" s="105">
        <v>0</v>
      </c>
      <c r="AE22" s="105">
        <f t="shared" si="26"/>
        <v>4.2372881355932206</v>
      </c>
      <c r="AF22" s="105">
        <v>5</v>
      </c>
      <c r="AG22" s="105">
        <f t="shared" si="14"/>
        <v>0</v>
      </c>
      <c r="AH22" s="106">
        <v>0</v>
      </c>
      <c r="AI22" s="105">
        <f t="shared" si="15"/>
        <v>9.3220338983050848</v>
      </c>
      <c r="AJ22" s="105">
        <v>11</v>
      </c>
      <c r="AK22" s="105">
        <f t="shared" si="16"/>
        <v>0</v>
      </c>
      <c r="AL22" s="106">
        <f>24.2</f>
        <v>24.2</v>
      </c>
      <c r="AM22" s="105">
        <f t="shared" si="17"/>
        <v>12.711864406779661</v>
      </c>
      <c r="AN22" s="105">
        <v>15</v>
      </c>
      <c r="AO22" s="105">
        <f t="shared" si="18"/>
        <v>363</v>
      </c>
      <c r="AP22" s="105">
        <f t="shared" si="19"/>
        <v>14331.652542372882</v>
      </c>
      <c r="AQ22" s="105">
        <f t="shared" si="20"/>
        <v>16911.349999999999</v>
      </c>
      <c r="AR22" s="106">
        <v>1071</v>
      </c>
      <c r="AS22" s="105" t="s">
        <v>312</v>
      </c>
      <c r="AT22" s="107">
        <v>0</v>
      </c>
      <c r="AU22" s="107">
        <f t="shared" si="21"/>
        <v>5.0847457627118651</v>
      </c>
      <c r="AV22" s="107">
        <v>6</v>
      </c>
      <c r="AW22" s="107">
        <f t="shared" si="27"/>
        <v>5445.7627118644077</v>
      </c>
      <c r="AX22" s="107">
        <f t="shared" si="22"/>
        <v>6426</v>
      </c>
      <c r="AY22" s="108">
        <f t="shared" si="1"/>
        <v>19777.41525423729</v>
      </c>
      <c r="AZ22" s="109">
        <f t="shared" si="2"/>
        <v>23337.35</v>
      </c>
      <c r="BA22" s="9"/>
      <c r="BB22" s="9"/>
      <c r="BC22" s="9"/>
      <c r="BD22" s="9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</row>
    <row r="23" spans="1:93" s="42" customFormat="1" ht="228.75" outlineLevel="1" x14ac:dyDescent="0.25">
      <c r="A23" s="100">
        <f t="shared" si="28"/>
        <v>11</v>
      </c>
      <c r="B23" s="101" t="s">
        <v>16</v>
      </c>
      <c r="C23" s="102" t="s">
        <v>40</v>
      </c>
      <c r="D23" s="103" t="s">
        <v>19</v>
      </c>
      <c r="E23" s="104">
        <f t="shared" si="23"/>
        <v>1439.7</v>
      </c>
      <c r="F23" s="105">
        <v>0</v>
      </c>
      <c r="G23" s="105">
        <f t="shared" si="0"/>
        <v>0</v>
      </c>
      <c r="H23" s="105"/>
      <c r="I23" s="105">
        <f t="shared" si="3"/>
        <v>0</v>
      </c>
      <c r="J23" s="104">
        <f>378.1+70.4</f>
        <v>448.5</v>
      </c>
      <c r="K23" s="105">
        <f t="shared" si="4"/>
        <v>12.711864406779661</v>
      </c>
      <c r="L23" s="105">
        <v>15</v>
      </c>
      <c r="M23" s="105">
        <f t="shared" si="5"/>
        <v>6727.5</v>
      </c>
      <c r="N23" s="106">
        <f>89.8+454.9+72.9</f>
        <v>617.59999999999991</v>
      </c>
      <c r="O23" s="105">
        <f t="shared" si="6"/>
        <v>6.6101694915254239</v>
      </c>
      <c r="P23" s="105">
        <v>7.8</v>
      </c>
      <c r="Q23" s="105">
        <f t="shared" si="7"/>
        <v>4817.2799999999988</v>
      </c>
      <c r="R23" s="104">
        <v>0</v>
      </c>
      <c r="S23" s="105">
        <f t="shared" si="8"/>
        <v>13.220338983050848</v>
      </c>
      <c r="T23" s="105">
        <v>15.6</v>
      </c>
      <c r="U23" s="105">
        <f t="shared" si="9"/>
        <v>0</v>
      </c>
      <c r="V23" s="105">
        <v>47.5</v>
      </c>
      <c r="W23" s="105">
        <f t="shared" si="31"/>
        <v>5.9322033898305087</v>
      </c>
      <c r="X23" s="105">
        <v>7</v>
      </c>
      <c r="Y23" s="105">
        <f t="shared" si="10"/>
        <v>332.5</v>
      </c>
      <c r="Z23" s="104">
        <v>295.39999999999998</v>
      </c>
      <c r="AA23" s="105">
        <f t="shared" si="25"/>
        <v>5.5084745762711869</v>
      </c>
      <c r="AB23" s="105">
        <v>6.5</v>
      </c>
      <c r="AC23" s="105">
        <f t="shared" si="12"/>
        <v>1920.1</v>
      </c>
      <c r="AD23" s="105">
        <v>0</v>
      </c>
      <c r="AE23" s="105">
        <f t="shared" si="26"/>
        <v>4.2372881355932206</v>
      </c>
      <c r="AF23" s="105">
        <v>5</v>
      </c>
      <c r="AG23" s="105">
        <f t="shared" si="14"/>
        <v>0</v>
      </c>
      <c r="AH23" s="106">
        <v>0</v>
      </c>
      <c r="AI23" s="105">
        <f t="shared" si="15"/>
        <v>9.3220338983050848</v>
      </c>
      <c r="AJ23" s="105">
        <v>11</v>
      </c>
      <c r="AK23" s="105">
        <f t="shared" si="16"/>
        <v>0</v>
      </c>
      <c r="AL23" s="106">
        <f>7.9+22.8</f>
        <v>30.700000000000003</v>
      </c>
      <c r="AM23" s="105">
        <f t="shared" si="17"/>
        <v>12.711864406779661</v>
      </c>
      <c r="AN23" s="105">
        <v>15</v>
      </c>
      <c r="AO23" s="105">
        <f t="shared" si="18"/>
        <v>460.50000000000006</v>
      </c>
      <c r="AP23" s="105">
        <f t="shared" si="19"/>
        <v>12082.949152542373</v>
      </c>
      <c r="AQ23" s="105">
        <f t="shared" si="20"/>
        <v>14257.88</v>
      </c>
      <c r="AR23" s="106">
        <v>2942</v>
      </c>
      <c r="AS23" s="105" t="s">
        <v>312</v>
      </c>
      <c r="AT23" s="107">
        <v>0</v>
      </c>
      <c r="AU23" s="107">
        <f t="shared" si="21"/>
        <v>5.0847457627118651</v>
      </c>
      <c r="AV23" s="107">
        <v>6</v>
      </c>
      <c r="AW23" s="107">
        <f t="shared" si="27"/>
        <v>14959.322033898306</v>
      </c>
      <c r="AX23" s="107">
        <f t="shared" si="22"/>
        <v>17652</v>
      </c>
      <c r="AY23" s="108">
        <f t="shared" si="1"/>
        <v>27042.271186440681</v>
      </c>
      <c r="AZ23" s="109">
        <f t="shared" si="2"/>
        <v>31909.879999999997</v>
      </c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</row>
    <row r="24" spans="1:93" s="4" customFormat="1" ht="228.75" outlineLevel="1" x14ac:dyDescent="0.25">
      <c r="A24" s="100">
        <f t="shared" si="28"/>
        <v>12</v>
      </c>
      <c r="B24" s="101" t="s">
        <v>16</v>
      </c>
      <c r="C24" s="102" t="s">
        <v>41</v>
      </c>
      <c r="D24" s="103" t="s">
        <v>19</v>
      </c>
      <c r="E24" s="104">
        <f t="shared" si="23"/>
        <v>1510.9</v>
      </c>
      <c r="F24" s="105">
        <v>0</v>
      </c>
      <c r="G24" s="105">
        <f t="shared" si="0"/>
        <v>16.949152542372882</v>
      </c>
      <c r="H24" s="105">
        <v>20</v>
      </c>
      <c r="I24" s="105">
        <f t="shared" si="3"/>
        <v>0</v>
      </c>
      <c r="J24" s="104">
        <f>34.6+202+133.4+35.6</f>
        <v>405.6</v>
      </c>
      <c r="K24" s="105">
        <f t="shared" si="4"/>
        <v>12.711864406779661</v>
      </c>
      <c r="L24" s="105">
        <v>15</v>
      </c>
      <c r="M24" s="105">
        <f t="shared" si="5"/>
        <v>6084</v>
      </c>
      <c r="N24" s="106">
        <f>317.2+61.4+142+351.1</f>
        <v>871.69999999999993</v>
      </c>
      <c r="O24" s="105">
        <f t="shared" si="6"/>
        <v>6.6101694915254239</v>
      </c>
      <c r="P24" s="105">
        <v>7.8</v>
      </c>
      <c r="Q24" s="105">
        <f t="shared" si="7"/>
        <v>6799.2599999999993</v>
      </c>
      <c r="R24" s="104">
        <v>0</v>
      </c>
      <c r="S24" s="105">
        <f t="shared" si="8"/>
        <v>13.220338983050848</v>
      </c>
      <c r="T24" s="105">
        <v>15.6</v>
      </c>
      <c r="U24" s="105">
        <f t="shared" si="9"/>
        <v>0</v>
      </c>
      <c r="V24" s="105">
        <v>0</v>
      </c>
      <c r="W24" s="105">
        <f t="shared" si="31"/>
        <v>5.9322033898305087</v>
      </c>
      <c r="X24" s="105">
        <v>7</v>
      </c>
      <c r="Y24" s="105">
        <f t="shared" si="10"/>
        <v>0</v>
      </c>
      <c r="Z24" s="104">
        <f>65.7+29.9+65.15+21.2+25.8+21.2</f>
        <v>228.95</v>
      </c>
      <c r="AA24" s="105">
        <f t="shared" si="25"/>
        <v>5.5084745762711869</v>
      </c>
      <c r="AB24" s="105">
        <v>6.5</v>
      </c>
      <c r="AC24" s="105">
        <f t="shared" si="12"/>
        <v>1488.175</v>
      </c>
      <c r="AD24" s="105">
        <v>0</v>
      </c>
      <c r="AE24" s="105">
        <f t="shared" si="26"/>
        <v>4.2372881355932206</v>
      </c>
      <c r="AF24" s="105">
        <v>5</v>
      </c>
      <c r="AG24" s="105">
        <f t="shared" si="14"/>
        <v>0</v>
      </c>
      <c r="AH24" s="106">
        <v>0</v>
      </c>
      <c r="AI24" s="105">
        <f t="shared" si="15"/>
        <v>9.3220338983050848</v>
      </c>
      <c r="AJ24" s="105">
        <v>11</v>
      </c>
      <c r="AK24" s="105">
        <f t="shared" si="16"/>
        <v>0</v>
      </c>
      <c r="AL24" s="106">
        <f>2.25+2.4</f>
        <v>4.6500000000000004</v>
      </c>
      <c r="AM24" s="105">
        <f t="shared" si="17"/>
        <v>12.711864406779661</v>
      </c>
      <c r="AN24" s="105">
        <v>15</v>
      </c>
      <c r="AO24" s="105">
        <f t="shared" si="18"/>
        <v>69.75</v>
      </c>
      <c r="AP24" s="105">
        <f t="shared" si="19"/>
        <v>12238.292372881355</v>
      </c>
      <c r="AQ24" s="105">
        <f t="shared" si="20"/>
        <v>14441.184999999998</v>
      </c>
      <c r="AR24" s="106">
        <v>933.3</v>
      </c>
      <c r="AS24" s="105" t="s">
        <v>312</v>
      </c>
      <c r="AT24" s="107">
        <v>0</v>
      </c>
      <c r="AU24" s="107">
        <f t="shared" si="21"/>
        <v>5.0847457627118651</v>
      </c>
      <c r="AV24" s="107">
        <v>6</v>
      </c>
      <c r="AW24" s="107">
        <f t="shared" si="27"/>
        <v>4745.5932203389839</v>
      </c>
      <c r="AX24" s="107">
        <f t="shared" si="22"/>
        <v>5599.7999999999993</v>
      </c>
      <c r="AY24" s="108">
        <f t="shared" si="1"/>
        <v>16983.885593220337</v>
      </c>
      <c r="AZ24" s="109">
        <f t="shared" si="2"/>
        <v>20040.984999999997</v>
      </c>
      <c r="BA24" s="9"/>
      <c r="BB24" s="9"/>
      <c r="BC24" s="9"/>
      <c r="BD24" s="9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</row>
    <row r="25" spans="1:93" s="4" customFormat="1" ht="228.75" outlineLevel="1" x14ac:dyDescent="0.25">
      <c r="A25" s="100">
        <f t="shared" si="28"/>
        <v>13</v>
      </c>
      <c r="B25" s="101" t="s">
        <v>16</v>
      </c>
      <c r="C25" s="102" t="s">
        <v>42</v>
      </c>
      <c r="D25" s="103" t="s">
        <v>19</v>
      </c>
      <c r="E25" s="104">
        <f t="shared" si="23"/>
        <v>3848.4599999999996</v>
      </c>
      <c r="F25" s="105">
        <v>0</v>
      </c>
      <c r="G25" s="105">
        <f t="shared" si="0"/>
        <v>16.949152542372882</v>
      </c>
      <c r="H25" s="105">
        <v>20</v>
      </c>
      <c r="I25" s="105">
        <f t="shared" si="3"/>
        <v>0</v>
      </c>
      <c r="J25" s="104">
        <f>933.7-66.5-48.8-92.1</f>
        <v>726.30000000000007</v>
      </c>
      <c r="K25" s="105">
        <f t="shared" si="4"/>
        <v>12.711864406779661</v>
      </c>
      <c r="L25" s="105">
        <v>15</v>
      </c>
      <c r="M25" s="105">
        <f t="shared" si="5"/>
        <v>10894.500000000002</v>
      </c>
      <c r="N25" s="106">
        <v>1995.28</v>
      </c>
      <c r="O25" s="105">
        <f t="shared" si="6"/>
        <v>6.6101694915254239</v>
      </c>
      <c r="P25" s="105">
        <v>7.8</v>
      </c>
      <c r="Q25" s="105">
        <f t="shared" si="7"/>
        <v>15563.183999999999</v>
      </c>
      <c r="R25" s="104">
        <v>0</v>
      </c>
      <c r="S25" s="105">
        <f t="shared" si="8"/>
        <v>13.220338983050848</v>
      </c>
      <c r="T25" s="105">
        <v>15.6</v>
      </c>
      <c r="U25" s="105">
        <f t="shared" si="9"/>
        <v>0</v>
      </c>
      <c r="V25" s="105">
        <v>0</v>
      </c>
      <c r="W25" s="105">
        <v>4.2</v>
      </c>
      <c r="X25" s="105">
        <v>7</v>
      </c>
      <c r="Y25" s="105">
        <f t="shared" si="10"/>
        <v>0</v>
      </c>
      <c r="Z25" s="104">
        <v>1057.7</v>
      </c>
      <c r="AA25" s="105">
        <f t="shared" si="25"/>
        <v>5.5084745762711869</v>
      </c>
      <c r="AB25" s="105">
        <v>6.5</v>
      </c>
      <c r="AC25" s="105">
        <f t="shared" si="12"/>
        <v>6875.05</v>
      </c>
      <c r="AD25" s="105">
        <v>0</v>
      </c>
      <c r="AE25" s="105">
        <f t="shared" si="26"/>
        <v>4.2372881355932206</v>
      </c>
      <c r="AF25" s="105">
        <v>5</v>
      </c>
      <c r="AG25" s="105">
        <f t="shared" si="14"/>
        <v>0</v>
      </c>
      <c r="AH25" s="106">
        <v>0</v>
      </c>
      <c r="AI25" s="105">
        <f t="shared" si="15"/>
        <v>9.3220338983050848</v>
      </c>
      <c r="AJ25" s="105">
        <v>11</v>
      </c>
      <c r="AK25" s="105">
        <f t="shared" si="16"/>
        <v>0</v>
      </c>
      <c r="AL25" s="106">
        <v>69.180000000000007</v>
      </c>
      <c r="AM25" s="105">
        <f t="shared" si="17"/>
        <v>12.711864406779661</v>
      </c>
      <c r="AN25" s="105">
        <v>15</v>
      </c>
      <c r="AO25" s="105">
        <f t="shared" si="18"/>
        <v>1037.7</v>
      </c>
      <c r="AP25" s="105">
        <f t="shared" si="19"/>
        <v>29127.486440677967</v>
      </c>
      <c r="AQ25" s="105">
        <f t="shared" si="20"/>
        <v>34370.434000000001</v>
      </c>
      <c r="AR25" s="106">
        <v>1868</v>
      </c>
      <c r="AS25" s="105" t="s">
        <v>312</v>
      </c>
      <c r="AT25" s="107">
        <v>0</v>
      </c>
      <c r="AU25" s="107">
        <f t="shared" si="21"/>
        <v>5.0847457627118651</v>
      </c>
      <c r="AV25" s="107">
        <v>6</v>
      </c>
      <c r="AW25" s="107">
        <f t="shared" si="27"/>
        <v>9498.3050847457635</v>
      </c>
      <c r="AX25" s="107">
        <f t="shared" si="22"/>
        <v>11208</v>
      </c>
      <c r="AY25" s="108">
        <f t="shared" si="1"/>
        <v>38625.79152542373</v>
      </c>
      <c r="AZ25" s="109">
        <f t="shared" si="2"/>
        <v>45578.434000000001</v>
      </c>
      <c r="BA25" s="9"/>
      <c r="BB25" s="9"/>
      <c r="BC25" s="9"/>
      <c r="BD25" s="9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</row>
    <row r="26" spans="1:93" s="4" customFormat="1" ht="228.75" outlineLevel="1" x14ac:dyDescent="0.25">
      <c r="A26" s="100">
        <f t="shared" si="28"/>
        <v>14</v>
      </c>
      <c r="B26" s="101" t="s">
        <v>16</v>
      </c>
      <c r="C26" s="102" t="s">
        <v>48</v>
      </c>
      <c r="D26" s="103" t="s">
        <v>19</v>
      </c>
      <c r="E26" s="104">
        <f t="shared" si="23"/>
        <v>48</v>
      </c>
      <c r="F26" s="105">
        <v>0</v>
      </c>
      <c r="G26" s="105">
        <f t="shared" si="0"/>
        <v>16.949152542372882</v>
      </c>
      <c r="H26" s="105">
        <v>20</v>
      </c>
      <c r="I26" s="105">
        <f t="shared" si="3"/>
        <v>0</v>
      </c>
      <c r="J26" s="104">
        <v>48</v>
      </c>
      <c r="K26" s="105">
        <f t="shared" si="4"/>
        <v>12.711864406779661</v>
      </c>
      <c r="L26" s="105">
        <v>15</v>
      </c>
      <c r="M26" s="105">
        <f t="shared" si="5"/>
        <v>720</v>
      </c>
      <c r="N26" s="106">
        <v>0</v>
      </c>
      <c r="O26" s="105">
        <f t="shared" si="6"/>
        <v>6.6101694915254239</v>
      </c>
      <c r="P26" s="105">
        <v>7.8</v>
      </c>
      <c r="Q26" s="105">
        <f t="shared" si="7"/>
        <v>0</v>
      </c>
      <c r="R26" s="104">
        <v>0</v>
      </c>
      <c r="S26" s="105">
        <f t="shared" si="8"/>
        <v>13.220338983050848</v>
      </c>
      <c r="T26" s="105">
        <v>15.6</v>
      </c>
      <c r="U26" s="105">
        <f t="shared" si="9"/>
        <v>0</v>
      </c>
      <c r="V26" s="105">
        <v>0</v>
      </c>
      <c r="W26" s="105">
        <f t="shared" ref="W26:W28" si="32">X26/1.18</f>
        <v>5.9322033898305087</v>
      </c>
      <c r="X26" s="105">
        <v>7</v>
      </c>
      <c r="Y26" s="105">
        <f t="shared" si="10"/>
        <v>0</v>
      </c>
      <c r="Z26" s="104">
        <v>0</v>
      </c>
      <c r="AA26" s="105">
        <f t="shared" si="25"/>
        <v>5.5084745762711869</v>
      </c>
      <c r="AB26" s="105">
        <v>6.5</v>
      </c>
      <c r="AC26" s="105">
        <f t="shared" si="12"/>
        <v>0</v>
      </c>
      <c r="AD26" s="105">
        <v>0</v>
      </c>
      <c r="AE26" s="105">
        <f t="shared" si="26"/>
        <v>4.2372881355932206</v>
      </c>
      <c r="AF26" s="105">
        <v>5</v>
      </c>
      <c r="AG26" s="105">
        <f t="shared" si="14"/>
        <v>0</v>
      </c>
      <c r="AH26" s="106">
        <v>0</v>
      </c>
      <c r="AI26" s="105">
        <f t="shared" si="15"/>
        <v>9.3220338983050848</v>
      </c>
      <c r="AJ26" s="105">
        <v>11</v>
      </c>
      <c r="AK26" s="105">
        <f t="shared" si="16"/>
        <v>0</v>
      </c>
      <c r="AL26" s="106">
        <v>0</v>
      </c>
      <c r="AM26" s="105">
        <f t="shared" si="17"/>
        <v>12.711864406779661</v>
      </c>
      <c r="AN26" s="105">
        <v>15</v>
      </c>
      <c r="AO26" s="105">
        <f t="shared" si="18"/>
        <v>0</v>
      </c>
      <c r="AP26" s="105">
        <f t="shared" si="19"/>
        <v>610.16949152542372</v>
      </c>
      <c r="AQ26" s="105">
        <f t="shared" si="20"/>
        <v>720</v>
      </c>
      <c r="AR26" s="106">
        <v>0</v>
      </c>
      <c r="AS26" s="105" t="s">
        <v>312</v>
      </c>
      <c r="AT26" s="107">
        <v>0</v>
      </c>
      <c r="AU26" s="107">
        <f t="shared" si="21"/>
        <v>5.0847457627118651</v>
      </c>
      <c r="AV26" s="107">
        <v>6</v>
      </c>
      <c r="AW26" s="107">
        <f t="shared" si="27"/>
        <v>0</v>
      </c>
      <c r="AX26" s="107">
        <f t="shared" si="22"/>
        <v>0</v>
      </c>
      <c r="AY26" s="108">
        <f t="shared" si="1"/>
        <v>610.16949152542372</v>
      </c>
      <c r="AZ26" s="109">
        <f t="shared" si="2"/>
        <v>720</v>
      </c>
      <c r="BA26" s="9"/>
      <c r="BB26" s="9"/>
      <c r="BC26" s="9"/>
      <c r="BD26" s="9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</row>
    <row r="27" spans="1:93" s="4" customFormat="1" ht="228.75" outlineLevel="1" x14ac:dyDescent="0.25">
      <c r="A27" s="100">
        <v>15</v>
      </c>
      <c r="B27" s="101" t="s">
        <v>16</v>
      </c>
      <c r="C27" s="102" t="s">
        <v>49</v>
      </c>
      <c r="D27" s="103" t="s">
        <v>19</v>
      </c>
      <c r="E27" s="104">
        <f t="shared" si="23"/>
        <v>54.74</v>
      </c>
      <c r="F27" s="105">
        <v>0</v>
      </c>
      <c r="G27" s="105">
        <f t="shared" si="0"/>
        <v>16.949152542372882</v>
      </c>
      <c r="H27" s="105">
        <v>20</v>
      </c>
      <c r="I27" s="105">
        <f t="shared" si="3"/>
        <v>0</v>
      </c>
      <c r="J27" s="104">
        <v>54.74</v>
      </c>
      <c r="K27" s="105">
        <f t="shared" si="4"/>
        <v>12.711864406779661</v>
      </c>
      <c r="L27" s="105">
        <v>15</v>
      </c>
      <c r="M27" s="105">
        <f t="shared" si="5"/>
        <v>821.1</v>
      </c>
      <c r="N27" s="106">
        <v>0</v>
      </c>
      <c r="O27" s="105">
        <f t="shared" si="6"/>
        <v>6.6101694915254239</v>
      </c>
      <c r="P27" s="105">
        <v>7.8</v>
      </c>
      <c r="Q27" s="105">
        <f t="shared" si="7"/>
        <v>0</v>
      </c>
      <c r="R27" s="104">
        <v>0</v>
      </c>
      <c r="S27" s="105">
        <f t="shared" si="8"/>
        <v>13.220338983050848</v>
      </c>
      <c r="T27" s="105">
        <v>15.6</v>
      </c>
      <c r="U27" s="105">
        <f t="shared" si="9"/>
        <v>0</v>
      </c>
      <c r="V27" s="105">
        <v>0</v>
      </c>
      <c r="W27" s="105">
        <f t="shared" si="32"/>
        <v>5.9322033898305087</v>
      </c>
      <c r="X27" s="105">
        <v>7</v>
      </c>
      <c r="Y27" s="105">
        <f t="shared" si="10"/>
        <v>0</v>
      </c>
      <c r="Z27" s="104">
        <v>0</v>
      </c>
      <c r="AA27" s="105">
        <f t="shared" si="25"/>
        <v>5.5084745762711869</v>
      </c>
      <c r="AB27" s="105">
        <v>6.5</v>
      </c>
      <c r="AC27" s="105">
        <f t="shared" si="12"/>
        <v>0</v>
      </c>
      <c r="AD27" s="105">
        <v>0</v>
      </c>
      <c r="AE27" s="105">
        <f t="shared" si="26"/>
        <v>4.2372881355932206</v>
      </c>
      <c r="AF27" s="105">
        <v>5</v>
      </c>
      <c r="AG27" s="105">
        <f t="shared" si="14"/>
        <v>0</v>
      </c>
      <c r="AH27" s="106">
        <v>0</v>
      </c>
      <c r="AI27" s="105">
        <f t="shared" si="15"/>
        <v>9.3220338983050848</v>
      </c>
      <c r="AJ27" s="105">
        <v>11</v>
      </c>
      <c r="AK27" s="105">
        <f t="shared" si="16"/>
        <v>0</v>
      </c>
      <c r="AL27" s="106">
        <v>0</v>
      </c>
      <c r="AM27" s="105">
        <f t="shared" si="17"/>
        <v>12.711864406779661</v>
      </c>
      <c r="AN27" s="105">
        <v>15</v>
      </c>
      <c r="AO27" s="105">
        <f t="shared" si="18"/>
        <v>0</v>
      </c>
      <c r="AP27" s="105">
        <f t="shared" si="19"/>
        <v>695.84745762711873</v>
      </c>
      <c r="AQ27" s="105">
        <f t="shared" si="20"/>
        <v>821.1</v>
      </c>
      <c r="AR27" s="106">
        <v>0</v>
      </c>
      <c r="AS27" s="105" t="s">
        <v>312</v>
      </c>
      <c r="AT27" s="107">
        <v>0</v>
      </c>
      <c r="AU27" s="107">
        <f t="shared" si="21"/>
        <v>5.0847457627118651</v>
      </c>
      <c r="AV27" s="107">
        <v>6</v>
      </c>
      <c r="AW27" s="107">
        <f t="shared" si="27"/>
        <v>0</v>
      </c>
      <c r="AX27" s="107">
        <f t="shared" si="22"/>
        <v>0</v>
      </c>
      <c r="AY27" s="108">
        <f t="shared" si="1"/>
        <v>695.84745762711873</v>
      </c>
      <c r="AZ27" s="109">
        <f t="shared" si="2"/>
        <v>821.1</v>
      </c>
      <c r="BA27" s="9"/>
      <c r="BB27" s="9"/>
      <c r="BC27" s="9"/>
      <c r="BD27" s="9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</row>
    <row r="28" spans="1:93" s="4" customFormat="1" ht="228.75" outlineLevel="1" x14ac:dyDescent="0.25">
      <c r="A28" s="100">
        <f t="shared" si="28"/>
        <v>16</v>
      </c>
      <c r="B28" s="101" t="s">
        <v>16</v>
      </c>
      <c r="C28" s="102" t="s">
        <v>43</v>
      </c>
      <c r="D28" s="103" t="s">
        <v>19</v>
      </c>
      <c r="E28" s="104">
        <f t="shared" si="23"/>
        <v>688</v>
      </c>
      <c r="F28" s="105">
        <v>0</v>
      </c>
      <c r="G28" s="105">
        <f t="shared" si="0"/>
        <v>16.949152542372882</v>
      </c>
      <c r="H28" s="105">
        <v>20</v>
      </c>
      <c r="I28" s="105">
        <f t="shared" si="3"/>
        <v>0</v>
      </c>
      <c r="J28" s="104">
        <f>200.6</f>
        <v>200.6</v>
      </c>
      <c r="K28" s="105">
        <f t="shared" si="4"/>
        <v>12.711864406779661</v>
      </c>
      <c r="L28" s="105">
        <v>15</v>
      </c>
      <c r="M28" s="105">
        <f t="shared" si="5"/>
        <v>3009</v>
      </c>
      <c r="N28" s="106">
        <v>288.3</v>
      </c>
      <c r="O28" s="105">
        <f t="shared" si="6"/>
        <v>6.6101694915254239</v>
      </c>
      <c r="P28" s="105">
        <v>7.8</v>
      </c>
      <c r="Q28" s="105">
        <f t="shared" si="7"/>
        <v>2248.7400000000002</v>
      </c>
      <c r="R28" s="104">
        <v>0</v>
      </c>
      <c r="S28" s="105">
        <f t="shared" si="8"/>
        <v>13.220338983050848</v>
      </c>
      <c r="T28" s="105">
        <v>15.6</v>
      </c>
      <c r="U28" s="105">
        <f t="shared" si="9"/>
        <v>0</v>
      </c>
      <c r="V28" s="105">
        <v>0</v>
      </c>
      <c r="W28" s="105">
        <f t="shared" si="32"/>
        <v>5.9322033898305087</v>
      </c>
      <c r="X28" s="105">
        <v>7</v>
      </c>
      <c r="Y28" s="105">
        <f t="shared" si="10"/>
        <v>0</v>
      </c>
      <c r="Z28" s="104">
        <v>167.3</v>
      </c>
      <c r="AA28" s="105">
        <f t="shared" si="25"/>
        <v>5.5084745762711869</v>
      </c>
      <c r="AB28" s="105">
        <v>6.5</v>
      </c>
      <c r="AC28" s="105">
        <f t="shared" si="12"/>
        <v>1087.45</v>
      </c>
      <c r="AD28" s="105">
        <v>0</v>
      </c>
      <c r="AE28" s="105">
        <f t="shared" si="26"/>
        <v>4.2372881355932206</v>
      </c>
      <c r="AF28" s="105">
        <v>5</v>
      </c>
      <c r="AG28" s="105">
        <f t="shared" si="14"/>
        <v>0</v>
      </c>
      <c r="AH28" s="106">
        <v>0</v>
      </c>
      <c r="AI28" s="105">
        <f t="shared" si="15"/>
        <v>9.3220338983050848</v>
      </c>
      <c r="AJ28" s="105">
        <v>11</v>
      </c>
      <c r="AK28" s="105">
        <f t="shared" si="16"/>
        <v>0</v>
      </c>
      <c r="AL28" s="106">
        <f>10.3+21.5</f>
        <v>31.8</v>
      </c>
      <c r="AM28" s="105">
        <f t="shared" si="17"/>
        <v>12.711864406779661</v>
      </c>
      <c r="AN28" s="105">
        <v>15</v>
      </c>
      <c r="AO28" s="105">
        <f t="shared" si="18"/>
        <v>477</v>
      </c>
      <c r="AP28" s="105">
        <f t="shared" si="19"/>
        <v>5781.5169491525421</v>
      </c>
      <c r="AQ28" s="105">
        <f t="shared" si="20"/>
        <v>6822.19</v>
      </c>
      <c r="AR28" s="106">
        <v>730.1</v>
      </c>
      <c r="AS28" s="105" t="s">
        <v>312</v>
      </c>
      <c r="AT28" s="107">
        <v>0</v>
      </c>
      <c r="AU28" s="107">
        <f t="shared" si="21"/>
        <v>5.0847457627118651</v>
      </c>
      <c r="AV28" s="107">
        <v>6</v>
      </c>
      <c r="AW28" s="107">
        <f t="shared" si="27"/>
        <v>3712.3728813559328</v>
      </c>
      <c r="AX28" s="107">
        <f t="shared" si="22"/>
        <v>4380.6000000000004</v>
      </c>
      <c r="AY28" s="108">
        <f t="shared" si="1"/>
        <v>9493.8898305084749</v>
      </c>
      <c r="AZ28" s="109">
        <f t="shared" si="2"/>
        <v>11202.79</v>
      </c>
      <c r="BA28" s="9"/>
      <c r="BB28" s="9"/>
      <c r="BC28" s="9"/>
      <c r="BD28" s="9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</row>
    <row r="29" spans="1:93" s="4" customFormat="1" ht="228.75" outlineLevel="1" x14ac:dyDescent="0.25">
      <c r="A29" s="100">
        <f t="shared" si="28"/>
        <v>17</v>
      </c>
      <c r="B29" s="101" t="s">
        <v>16</v>
      </c>
      <c r="C29" s="102" t="s">
        <v>44</v>
      </c>
      <c r="D29" s="103" t="s">
        <v>19</v>
      </c>
      <c r="E29" s="104">
        <f t="shared" si="23"/>
        <v>1290</v>
      </c>
      <c r="F29" s="105">
        <v>0</v>
      </c>
      <c r="G29" s="105">
        <f t="shared" si="0"/>
        <v>16.949152542372882</v>
      </c>
      <c r="H29" s="105">
        <v>20</v>
      </c>
      <c r="I29" s="105">
        <f t="shared" si="3"/>
        <v>0</v>
      </c>
      <c r="J29" s="104">
        <v>390</v>
      </c>
      <c r="K29" s="105">
        <f t="shared" si="4"/>
        <v>12.711864406779661</v>
      </c>
      <c r="L29" s="105">
        <v>15</v>
      </c>
      <c r="M29" s="105">
        <f t="shared" si="5"/>
        <v>5850</v>
      </c>
      <c r="N29" s="106">
        <v>385.4</v>
      </c>
      <c r="O29" s="105">
        <f t="shared" si="6"/>
        <v>6.6101694915254239</v>
      </c>
      <c r="P29" s="105">
        <v>7.8</v>
      </c>
      <c r="Q29" s="105">
        <f t="shared" si="7"/>
        <v>3006.12</v>
      </c>
      <c r="R29" s="104">
        <v>0</v>
      </c>
      <c r="S29" s="105">
        <f t="shared" si="8"/>
        <v>13.220338983050848</v>
      </c>
      <c r="T29" s="105">
        <v>15.6</v>
      </c>
      <c r="U29" s="105">
        <f t="shared" si="9"/>
        <v>0</v>
      </c>
      <c r="V29" s="105">
        <v>56.6</v>
      </c>
      <c r="W29" s="105">
        <v>4.2</v>
      </c>
      <c r="X29" s="105">
        <v>7</v>
      </c>
      <c r="Y29" s="105">
        <f t="shared" si="10"/>
        <v>396.2</v>
      </c>
      <c r="Z29" s="104">
        <v>426.8</v>
      </c>
      <c r="AA29" s="105">
        <f t="shared" si="25"/>
        <v>5.5084745762711869</v>
      </c>
      <c r="AB29" s="105">
        <v>6.5</v>
      </c>
      <c r="AC29" s="105">
        <f t="shared" si="12"/>
        <v>2774.2000000000003</v>
      </c>
      <c r="AD29" s="105">
        <v>0</v>
      </c>
      <c r="AE29" s="105">
        <f t="shared" si="26"/>
        <v>4.2372881355932206</v>
      </c>
      <c r="AF29" s="105">
        <v>5</v>
      </c>
      <c r="AG29" s="105">
        <f t="shared" si="14"/>
        <v>0</v>
      </c>
      <c r="AH29" s="106">
        <v>0</v>
      </c>
      <c r="AI29" s="105">
        <f t="shared" si="15"/>
        <v>9.3220338983050848</v>
      </c>
      <c r="AJ29" s="105">
        <v>11</v>
      </c>
      <c r="AK29" s="105">
        <f t="shared" si="16"/>
        <v>0</v>
      </c>
      <c r="AL29" s="106">
        <v>31.2</v>
      </c>
      <c r="AM29" s="105">
        <f t="shared" si="17"/>
        <v>12.711864406779661</v>
      </c>
      <c r="AN29" s="105">
        <v>15</v>
      </c>
      <c r="AO29" s="105">
        <f t="shared" si="18"/>
        <v>468</v>
      </c>
      <c r="AP29" s="105">
        <f t="shared" si="19"/>
        <v>10588.576271186441</v>
      </c>
      <c r="AQ29" s="105">
        <f t="shared" si="20"/>
        <v>12494.52</v>
      </c>
      <c r="AR29" s="106">
        <v>2880</v>
      </c>
      <c r="AS29" s="105" t="s">
        <v>312</v>
      </c>
      <c r="AT29" s="107">
        <v>0</v>
      </c>
      <c r="AU29" s="107">
        <f t="shared" si="21"/>
        <v>5.0847457627118651</v>
      </c>
      <c r="AV29" s="107">
        <v>6</v>
      </c>
      <c r="AW29" s="107">
        <f t="shared" si="27"/>
        <v>14644.067796610172</v>
      </c>
      <c r="AX29" s="107">
        <f t="shared" si="22"/>
        <v>17280</v>
      </c>
      <c r="AY29" s="108">
        <f t="shared" si="1"/>
        <v>25232.644067796613</v>
      </c>
      <c r="AZ29" s="109">
        <f t="shared" si="2"/>
        <v>29774.52</v>
      </c>
      <c r="BA29" s="9"/>
      <c r="BB29" s="9"/>
      <c r="BC29" s="9"/>
      <c r="BD29" s="9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</row>
    <row r="30" spans="1:93" s="27" customFormat="1" ht="45.75" outlineLevel="1" x14ac:dyDescent="0.25">
      <c r="A30" s="151" t="s">
        <v>63</v>
      </c>
      <c r="B30" s="152"/>
      <c r="C30" s="152"/>
      <c r="D30" s="110"/>
      <c r="E30" s="104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05"/>
      <c r="AQ30" s="105"/>
      <c r="AR30" s="110"/>
      <c r="AS30" s="105"/>
      <c r="AT30" s="110"/>
      <c r="AU30" s="107"/>
      <c r="AV30" s="110"/>
      <c r="AW30" s="110"/>
      <c r="AX30" s="110"/>
      <c r="AY30" s="111"/>
      <c r="AZ30" s="112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</row>
    <row r="31" spans="1:93" s="4" customFormat="1" ht="228.75" outlineLevel="1" x14ac:dyDescent="0.25">
      <c r="A31" s="100">
        <f>A29+1</f>
        <v>18</v>
      </c>
      <c r="B31" s="101" t="s">
        <v>16</v>
      </c>
      <c r="C31" s="102" t="s">
        <v>67</v>
      </c>
      <c r="D31" s="103" t="s">
        <v>19</v>
      </c>
      <c r="E31" s="104">
        <f t="shared" si="23"/>
        <v>6</v>
      </c>
      <c r="F31" s="105">
        <v>0</v>
      </c>
      <c r="G31" s="105">
        <f t="shared" si="0"/>
        <v>16.949152542372882</v>
      </c>
      <c r="H31" s="105">
        <v>20</v>
      </c>
      <c r="I31" s="105">
        <f t="shared" si="3"/>
        <v>0</v>
      </c>
      <c r="J31" s="104">
        <v>0</v>
      </c>
      <c r="K31" s="105">
        <f t="shared" si="4"/>
        <v>12.711864406779661</v>
      </c>
      <c r="L31" s="105">
        <v>15</v>
      </c>
      <c r="M31" s="105">
        <f t="shared" si="5"/>
        <v>0</v>
      </c>
      <c r="N31" s="106">
        <v>6</v>
      </c>
      <c r="O31" s="105">
        <f t="shared" si="6"/>
        <v>6.6101694915254239</v>
      </c>
      <c r="P31" s="105">
        <v>7.8</v>
      </c>
      <c r="Q31" s="105">
        <f t="shared" si="7"/>
        <v>46.8</v>
      </c>
      <c r="R31" s="104">
        <v>0</v>
      </c>
      <c r="S31" s="105">
        <f t="shared" si="8"/>
        <v>13.220338983050848</v>
      </c>
      <c r="T31" s="105">
        <v>15.6</v>
      </c>
      <c r="U31" s="105">
        <f t="shared" si="9"/>
        <v>0</v>
      </c>
      <c r="V31" s="105">
        <v>0</v>
      </c>
      <c r="W31" s="105">
        <f t="shared" ref="W31:W32" si="33">X31/1.18</f>
        <v>5.9322033898305087</v>
      </c>
      <c r="X31" s="105">
        <v>7</v>
      </c>
      <c r="Y31" s="105">
        <f t="shared" si="10"/>
        <v>0</v>
      </c>
      <c r="Z31" s="104">
        <v>0</v>
      </c>
      <c r="AA31" s="105">
        <f t="shared" si="25"/>
        <v>5.5084745762711869</v>
      </c>
      <c r="AB31" s="105">
        <v>6.5</v>
      </c>
      <c r="AC31" s="105">
        <f t="shared" si="12"/>
        <v>0</v>
      </c>
      <c r="AD31" s="105">
        <v>0</v>
      </c>
      <c r="AE31" s="105">
        <f t="shared" si="26"/>
        <v>4.2372881355932206</v>
      </c>
      <c r="AF31" s="105">
        <v>5</v>
      </c>
      <c r="AG31" s="105">
        <f t="shared" si="14"/>
        <v>0</v>
      </c>
      <c r="AH31" s="106">
        <v>0</v>
      </c>
      <c r="AI31" s="105">
        <f t="shared" si="15"/>
        <v>9.3220338983050848</v>
      </c>
      <c r="AJ31" s="105">
        <v>11</v>
      </c>
      <c r="AK31" s="105">
        <f t="shared" si="16"/>
        <v>0</v>
      </c>
      <c r="AL31" s="106">
        <v>0</v>
      </c>
      <c r="AM31" s="105">
        <f t="shared" si="17"/>
        <v>12.711864406779661</v>
      </c>
      <c r="AN31" s="105">
        <v>15</v>
      </c>
      <c r="AO31" s="105">
        <f t="shared" si="18"/>
        <v>0</v>
      </c>
      <c r="AP31" s="105">
        <f t="shared" si="19"/>
        <v>39.66101694915254</v>
      </c>
      <c r="AQ31" s="105">
        <f t="shared" si="20"/>
        <v>46.8</v>
      </c>
      <c r="AR31" s="106">
        <v>0</v>
      </c>
      <c r="AS31" s="105" t="s">
        <v>312</v>
      </c>
      <c r="AT31" s="107">
        <v>0</v>
      </c>
      <c r="AU31" s="107">
        <f t="shared" si="21"/>
        <v>5.0847457627118651</v>
      </c>
      <c r="AV31" s="107">
        <v>6</v>
      </c>
      <c r="AW31" s="107">
        <f t="shared" si="27"/>
        <v>0</v>
      </c>
      <c r="AX31" s="107">
        <f t="shared" si="22"/>
        <v>0</v>
      </c>
      <c r="AY31" s="108">
        <f t="shared" si="1"/>
        <v>39.66101694915254</v>
      </c>
      <c r="AZ31" s="109">
        <f t="shared" si="2"/>
        <v>46.8</v>
      </c>
      <c r="BA31" s="9"/>
      <c r="BB31" s="9"/>
      <c r="BC31" s="9"/>
      <c r="BD31" s="9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2"/>
      <c r="CL31" s="42"/>
      <c r="CM31" s="42"/>
      <c r="CN31" s="42"/>
      <c r="CO31" s="42"/>
    </row>
    <row r="32" spans="1:93" s="4" customFormat="1" ht="228.75" outlineLevel="1" x14ac:dyDescent="0.25">
      <c r="A32" s="100">
        <f>A31+1</f>
        <v>19</v>
      </c>
      <c r="B32" s="101" t="s">
        <v>16</v>
      </c>
      <c r="C32" s="102" t="s">
        <v>68</v>
      </c>
      <c r="D32" s="103" t="s">
        <v>19</v>
      </c>
      <c r="E32" s="104">
        <f t="shared" si="23"/>
        <v>7</v>
      </c>
      <c r="F32" s="105">
        <v>0</v>
      </c>
      <c r="G32" s="105">
        <f t="shared" si="0"/>
        <v>16.949152542372882</v>
      </c>
      <c r="H32" s="105">
        <v>20</v>
      </c>
      <c r="I32" s="105">
        <f t="shared" si="3"/>
        <v>0</v>
      </c>
      <c r="J32" s="104">
        <v>0</v>
      </c>
      <c r="K32" s="105">
        <f t="shared" si="4"/>
        <v>12.711864406779661</v>
      </c>
      <c r="L32" s="105">
        <v>15</v>
      </c>
      <c r="M32" s="105">
        <f t="shared" si="5"/>
        <v>0</v>
      </c>
      <c r="N32" s="106">
        <v>7</v>
      </c>
      <c r="O32" s="105">
        <f t="shared" si="6"/>
        <v>6.6101694915254239</v>
      </c>
      <c r="P32" s="105">
        <v>7.8</v>
      </c>
      <c r="Q32" s="105">
        <f t="shared" si="7"/>
        <v>54.6</v>
      </c>
      <c r="R32" s="104">
        <v>0</v>
      </c>
      <c r="S32" s="105">
        <f t="shared" si="8"/>
        <v>13.220338983050848</v>
      </c>
      <c r="T32" s="105">
        <v>15.6</v>
      </c>
      <c r="U32" s="105">
        <f t="shared" si="9"/>
        <v>0</v>
      </c>
      <c r="V32" s="105">
        <v>0</v>
      </c>
      <c r="W32" s="105">
        <f t="shared" si="33"/>
        <v>5.9322033898305087</v>
      </c>
      <c r="X32" s="105">
        <v>7</v>
      </c>
      <c r="Y32" s="105">
        <f t="shared" si="10"/>
        <v>0</v>
      </c>
      <c r="Z32" s="104">
        <v>0</v>
      </c>
      <c r="AA32" s="105">
        <f t="shared" si="25"/>
        <v>5.5084745762711869</v>
      </c>
      <c r="AB32" s="105">
        <v>6.5</v>
      </c>
      <c r="AC32" s="105">
        <f t="shared" si="12"/>
        <v>0</v>
      </c>
      <c r="AD32" s="105">
        <v>0</v>
      </c>
      <c r="AE32" s="105">
        <f t="shared" si="26"/>
        <v>4.2372881355932206</v>
      </c>
      <c r="AF32" s="105">
        <v>5</v>
      </c>
      <c r="AG32" s="105">
        <f t="shared" si="14"/>
        <v>0</v>
      </c>
      <c r="AH32" s="106">
        <v>0</v>
      </c>
      <c r="AI32" s="105">
        <f t="shared" si="15"/>
        <v>9.3220338983050848</v>
      </c>
      <c r="AJ32" s="105">
        <v>11</v>
      </c>
      <c r="AK32" s="105">
        <f t="shared" si="16"/>
        <v>0</v>
      </c>
      <c r="AL32" s="106">
        <v>0</v>
      </c>
      <c r="AM32" s="105">
        <f t="shared" si="17"/>
        <v>12.711864406779661</v>
      </c>
      <c r="AN32" s="105">
        <v>15</v>
      </c>
      <c r="AO32" s="105">
        <f t="shared" si="18"/>
        <v>0</v>
      </c>
      <c r="AP32" s="105">
        <f t="shared" si="19"/>
        <v>46.271186440677972</v>
      </c>
      <c r="AQ32" s="105">
        <f t="shared" si="20"/>
        <v>54.6</v>
      </c>
      <c r="AR32" s="106">
        <v>0</v>
      </c>
      <c r="AS32" s="105" t="s">
        <v>312</v>
      </c>
      <c r="AT32" s="107">
        <v>0</v>
      </c>
      <c r="AU32" s="107">
        <f t="shared" si="21"/>
        <v>5.0847457627118651</v>
      </c>
      <c r="AV32" s="107">
        <v>6</v>
      </c>
      <c r="AW32" s="107">
        <f t="shared" si="27"/>
        <v>0</v>
      </c>
      <c r="AX32" s="107">
        <f t="shared" si="22"/>
        <v>0</v>
      </c>
      <c r="AY32" s="108">
        <f t="shared" si="1"/>
        <v>46.271186440677972</v>
      </c>
      <c r="AZ32" s="109">
        <f t="shared" si="2"/>
        <v>54.6</v>
      </c>
      <c r="BA32" s="9"/>
      <c r="BB32" s="9"/>
      <c r="BC32" s="9"/>
      <c r="BD32" s="9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2"/>
      <c r="CL32" s="42"/>
      <c r="CM32" s="42"/>
      <c r="CN32" s="42"/>
      <c r="CO32" s="42"/>
    </row>
    <row r="33" spans="1:93" s="4" customFormat="1" ht="228.75" outlineLevel="1" x14ac:dyDescent="0.25">
      <c r="A33" s="100">
        <f t="shared" ref="A33:A47" si="34">A32+1</f>
        <v>20</v>
      </c>
      <c r="B33" s="101" t="s">
        <v>16</v>
      </c>
      <c r="C33" s="102" t="s">
        <v>69</v>
      </c>
      <c r="D33" s="103" t="s">
        <v>19</v>
      </c>
      <c r="E33" s="104">
        <f t="shared" si="23"/>
        <v>37.200000000000003</v>
      </c>
      <c r="F33" s="105">
        <v>0</v>
      </c>
      <c r="G33" s="105">
        <f t="shared" si="0"/>
        <v>16.949152542372882</v>
      </c>
      <c r="H33" s="105">
        <v>20</v>
      </c>
      <c r="I33" s="105">
        <f t="shared" si="3"/>
        <v>0</v>
      </c>
      <c r="J33" s="104">
        <v>0</v>
      </c>
      <c r="K33" s="105">
        <f t="shared" si="4"/>
        <v>12.711864406779661</v>
      </c>
      <c r="L33" s="105">
        <v>15</v>
      </c>
      <c r="M33" s="105">
        <f t="shared" si="5"/>
        <v>0</v>
      </c>
      <c r="N33" s="106">
        <v>37.200000000000003</v>
      </c>
      <c r="O33" s="105">
        <f t="shared" si="6"/>
        <v>6.6101694915254239</v>
      </c>
      <c r="P33" s="105">
        <v>7.8</v>
      </c>
      <c r="Q33" s="105">
        <f t="shared" si="7"/>
        <v>290.16000000000003</v>
      </c>
      <c r="R33" s="104">
        <v>0</v>
      </c>
      <c r="S33" s="105">
        <f t="shared" si="8"/>
        <v>13.220338983050848</v>
      </c>
      <c r="T33" s="105">
        <v>15.6</v>
      </c>
      <c r="U33" s="105">
        <f t="shared" si="9"/>
        <v>0</v>
      </c>
      <c r="V33" s="105">
        <v>0</v>
      </c>
      <c r="W33" s="105">
        <v>4.2</v>
      </c>
      <c r="X33" s="105">
        <v>7</v>
      </c>
      <c r="Y33" s="105">
        <f t="shared" si="10"/>
        <v>0</v>
      </c>
      <c r="Z33" s="104">
        <v>0</v>
      </c>
      <c r="AA33" s="105">
        <f t="shared" si="25"/>
        <v>5.5084745762711869</v>
      </c>
      <c r="AB33" s="105">
        <v>6.5</v>
      </c>
      <c r="AC33" s="105">
        <f t="shared" si="12"/>
        <v>0</v>
      </c>
      <c r="AD33" s="105">
        <v>0</v>
      </c>
      <c r="AE33" s="105">
        <f t="shared" si="26"/>
        <v>4.2372881355932206</v>
      </c>
      <c r="AF33" s="105">
        <v>5</v>
      </c>
      <c r="AG33" s="105">
        <f t="shared" si="14"/>
        <v>0</v>
      </c>
      <c r="AH33" s="106">
        <v>0</v>
      </c>
      <c r="AI33" s="105">
        <f t="shared" si="15"/>
        <v>9.3220338983050848</v>
      </c>
      <c r="AJ33" s="105">
        <v>11</v>
      </c>
      <c r="AK33" s="105">
        <f t="shared" si="16"/>
        <v>0</v>
      </c>
      <c r="AL33" s="106">
        <v>0</v>
      </c>
      <c r="AM33" s="105">
        <f t="shared" si="17"/>
        <v>12.711864406779661</v>
      </c>
      <c r="AN33" s="105">
        <v>15</v>
      </c>
      <c r="AO33" s="105">
        <f t="shared" si="18"/>
        <v>0</v>
      </c>
      <c r="AP33" s="105">
        <f t="shared" si="19"/>
        <v>245.8983050847458</v>
      </c>
      <c r="AQ33" s="105">
        <f t="shared" si="20"/>
        <v>290.16000000000003</v>
      </c>
      <c r="AR33" s="106">
        <v>0</v>
      </c>
      <c r="AS33" s="105" t="s">
        <v>312</v>
      </c>
      <c r="AT33" s="107">
        <v>0</v>
      </c>
      <c r="AU33" s="107">
        <f t="shared" si="21"/>
        <v>5.0847457627118651</v>
      </c>
      <c r="AV33" s="107">
        <v>6</v>
      </c>
      <c r="AW33" s="107">
        <f t="shared" si="27"/>
        <v>0</v>
      </c>
      <c r="AX33" s="107">
        <f t="shared" si="22"/>
        <v>0</v>
      </c>
      <c r="AY33" s="108">
        <f t="shared" si="1"/>
        <v>245.8983050847458</v>
      </c>
      <c r="AZ33" s="109">
        <f t="shared" si="2"/>
        <v>290.16000000000003</v>
      </c>
      <c r="BA33" s="9"/>
      <c r="BB33" s="9"/>
      <c r="BC33" s="9"/>
      <c r="BD33" s="9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2"/>
      <c r="CL33" s="42"/>
      <c r="CM33" s="42"/>
      <c r="CN33" s="42"/>
      <c r="CO33" s="42"/>
    </row>
    <row r="34" spans="1:93" s="4" customFormat="1" ht="228.75" outlineLevel="1" x14ac:dyDescent="0.25">
      <c r="A34" s="100">
        <f t="shared" si="34"/>
        <v>21</v>
      </c>
      <c r="B34" s="101" t="s">
        <v>16</v>
      </c>
      <c r="C34" s="102" t="s">
        <v>70</v>
      </c>
      <c r="D34" s="103" t="s">
        <v>19</v>
      </c>
      <c r="E34" s="104">
        <f t="shared" si="23"/>
        <v>73</v>
      </c>
      <c r="F34" s="105">
        <v>0</v>
      </c>
      <c r="G34" s="105">
        <f t="shared" si="0"/>
        <v>16.949152542372882</v>
      </c>
      <c r="H34" s="105">
        <v>20</v>
      </c>
      <c r="I34" s="105">
        <f t="shared" si="3"/>
        <v>0</v>
      </c>
      <c r="J34" s="104">
        <v>0</v>
      </c>
      <c r="K34" s="105">
        <f t="shared" si="4"/>
        <v>12.711864406779661</v>
      </c>
      <c r="L34" s="105">
        <v>15</v>
      </c>
      <c r="M34" s="105">
        <f t="shared" si="5"/>
        <v>0</v>
      </c>
      <c r="N34" s="106">
        <v>73</v>
      </c>
      <c r="O34" s="105">
        <f t="shared" si="6"/>
        <v>6.6101694915254239</v>
      </c>
      <c r="P34" s="105">
        <v>7.8</v>
      </c>
      <c r="Q34" s="105">
        <f t="shared" si="7"/>
        <v>569.4</v>
      </c>
      <c r="R34" s="104">
        <v>0</v>
      </c>
      <c r="S34" s="105">
        <f t="shared" si="8"/>
        <v>13.220338983050848</v>
      </c>
      <c r="T34" s="105">
        <v>15.6</v>
      </c>
      <c r="U34" s="105">
        <f t="shared" si="9"/>
        <v>0</v>
      </c>
      <c r="V34" s="105">
        <v>0</v>
      </c>
      <c r="W34" s="105">
        <f t="shared" ref="W34:W36" si="35">X34/1.18</f>
        <v>5.9322033898305087</v>
      </c>
      <c r="X34" s="105">
        <v>7</v>
      </c>
      <c r="Y34" s="105">
        <f t="shared" si="10"/>
        <v>0</v>
      </c>
      <c r="Z34" s="104">
        <v>0</v>
      </c>
      <c r="AA34" s="105">
        <f t="shared" si="25"/>
        <v>5.5084745762711869</v>
      </c>
      <c r="AB34" s="105">
        <v>6.5</v>
      </c>
      <c r="AC34" s="105">
        <f t="shared" si="12"/>
        <v>0</v>
      </c>
      <c r="AD34" s="105">
        <v>0</v>
      </c>
      <c r="AE34" s="105">
        <f t="shared" si="26"/>
        <v>4.2372881355932206</v>
      </c>
      <c r="AF34" s="105">
        <v>5</v>
      </c>
      <c r="AG34" s="105">
        <f t="shared" si="14"/>
        <v>0</v>
      </c>
      <c r="AH34" s="106">
        <v>0</v>
      </c>
      <c r="AI34" s="105">
        <f t="shared" si="15"/>
        <v>9.3220338983050848</v>
      </c>
      <c r="AJ34" s="105">
        <v>11</v>
      </c>
      <c r="AK34" s="105">
        <f t="shared" si="16"/>
        <v>0</v>
      </c>
      <c r="AL34" s="106">
        <v>0</v>
      </c>
      <c r="AM34" s="105">
        <f t="shared" si="17"/>
        <v>12.711864406779661</v>
      </c>
      <c r="AN34" s="105">
        <v>15</v>
      </c>
      <c r="AO34" s="105">
        <f t="shared" si="18"/>
        <v>0</v>
      </c>
      <c r="AP34" s="105">
        <f t="shared" si="19"/>
        <v>482.54237288135596</v>
      </c>
      <c r="AQ34" s="105">
        <f t="shared" si="20"/>
        <v>569.4</v>
      </c>
      <c r="AR34" s="106">
        <v>0</v>
      </c>
      <c r="AS34" s="105" t="s">
        <v>312</v>
      </c>
      <c r="AT34" s="107">
        <v>0</v>
      </c>
      <c r="AU34" s="107">
        <f t="shared" si="21"/>
        <v>5.0847457627118651</v>
      </c>
      <c r="AV34" s="107">
        <v>6</v>
      </c>
      <c r="AW34" s="107">
        <f t="shared" si="27"/>
        <v>0</v>
      </c>
      <c r="AX34" s="107">
        <f t="shared" si="22"/>
        <v>0</v>
      </c>
      <c r="AY34" s="108">
        <f t="shared" si="1"/>
        <v>482.54237288135596</v>
      </c>
      <c r="AZ34" s="109">
        <f t="shared" si="2"/>
        <v>569.4</v>
      </c>
      <c r="BA34" s="9"/>
      <c r="BB34" s="9"/>
      <c r="BC34" s="9"/>
      <c r="BD34" s="9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2"/>
      <c r="CL34" s="42"/>
      <c r="CM34" s="42"/>
      <c r="CN34" s="42"/>
      <c r="CO34" s="42"/>
    </row>
    <row r="35" spans="1:93" s="4" customFormat="1" ht="228.75" outlineLevel="1" x14ac:dyDescent="0.25">
      <c r="A35" s="100">
        <f t="shared" si="34"/>
        <v>22</v>
      </c>
      <c r="B35" s="101" t="s">
        <v>16</v>
      </c>
      <c r="C35" s="102" t="s">
        <v>71</v>
      </c>
      <c r="D35" s="103" t="s">
        <v>19</v>
      </c>
      <c r="E35" s="104">
        <f t="shared" si="23"/>
        <v>13</v>
      </c>
      <c r="F35" s="105">
        <v>0</v>
      </c>
      <c r="G35" s="105">
        <f t="shared" si="0"/>
        <v>16.949152542372882</v>
      </c>
      <c r="H35" s="105">
        <v>20</v>
      </c>
      <c r="I35" s="105">
        <f t="shared" si="3"/>
        <v>0</v>
      </c>
      <c r="J35" s="104">
        <v>0</v>
      </c>
      <c r="K35" s="105">
        <f t="shared" si="4"/>
        <v>12.711864406779661</v>
      </c>
      <c r="L35" s="105">
        <v>15</v>
      </c>
      <c r="M35" s="105">
        <f t="shared" si="5"/>
        <v>0</v>
      </c>
      <c r="N35" s="106">
        <v>13</v>
      </c>
      <c r="O35" s="105">
        <f t="shared" si="6"/>
        <v>6.6101694915254239</v>
      </c>
      <c r="P35" s="105">
        <v>7.8</v>
      </c>
      <c r="Q35" s="105">
        <f t="shared" si="7"/>
        <v>101.39999999999999</v>
      </c>
      <c r="R35" s="104">
        <v>0</v>
      </c>
      <c r="S35" s="105">
        <f t="shared" si="8"/>
        <v>13.220338983050848</v>
      </c>
      <c r="T35" s="105">
        <v>15.6</v>
      </c>
      <c r="U35" s="105">
        <f t="shared" si="9"/>
        <v>0</v>
      </c>
      <c r="V35" s="105">
        <v>0</v>
      </c>
      <c r="W35" s="105">
        <f t="shared" si="35"/>
        <v>5.9322033898305087</v>
      </c>
      <c r="X35" s="105">
        <v>7</v>
      </c>
      <c r="Y35" s="105">
        <f t="shared" si="10"/>
        <v>0</v>
      </c>
      <c r="Z35" s="104">
        <v>0</v>
      </c>
      <c r="AA35" s="105">
        <f t="shared" si="25"/>
        <v>5.5084745762711869</v>
      </c>
      <c r="AB35" s="105">
        <v>6.5</v>
      </c>
      <c r="AC35" s="105">
        <f t="shared" si="12"/>
        <v>0</v>
      </c>
      <c r="AD35" s="105">
        <v>0</v>
      </c>
      <c r="AE35" s="105">
        <f t="shared" si="26"/>
        <v>4.2372881355932206</v>
      </c>
      <c r="AF35" s="105">
        <v>5</v>
      </c>
      <c r="AG35" s="105">
        <f t="shared" si="14"/>
        <v>0</v>
      </c>
      <c r="AH35" s="106">
        <v>0</v>
      </c>
      <c r="AI35" s="105">
        <f t="shared" si="15"/>
        <v>9.3220338983050848</v>
      </c>
      <c r="AJ35" s="105">
        <v>11</v>
      </c>
      <c r="AK35" s="105">
        <f t="shared" si="16"/>
        <v>0</v>
      </c>
      <c r="AL35" s="106">
        <v>0</v>
      </c>
      <c r="AM35" s="105">
        <f t="shared" si="17"/>
        <v>12.711864406779661</v>
      </c>
      <c r="AN35" s="105">
        <v>15</v>
      </c>
      <c r="AO35" s="105">
        <f t="shared" si="18"/>
        <v>0</v>
      </c>
      <c r="AP35" s="105">
        <f t="shared" si="19"/>
        <v>85.932203389830505</v>
      </c>
      <c r="AQ35" s="105">
        <f t="shared" si="20"/>
        <v>101.39999999999999</v>
      </c>
      <c r="AR35" s="106">
        <v>0</v>
      </c>
      <c r="AS35" s="105" t="s">
        <v>312</v>
      </c>
      <c r="AT35" s="107">
        <v>0</v>
      </c>
      <c r="AU35" s="107">
        <f t="shared" si="21"/>
        <v>5.0847457627118651</v>
      </c>
      <c r="AV35" s="107">
        <v>6</v>
      </c>
      <c r="AW35" s="107">
        <f t="shared" si="27"/>
        <v>0</v>
      </c>
      <c r="AX35" s="107">
        <f t="shared" si="22"/>
        <v>0</v>
      </c>
      <c r="AY35" s="108">
        <f t="shared" si="1"/>
        <v>85.932203389830505</v>
      </c>
      <c r="AZ35" s="109">
        <f t="shared" si="2"/>
        <v>101.39999999999999</v>
      </c>
      <c r="BA35" s="9"/>
      <c r="BB35" s="9"/>
      <c r="BC35" s="9"/>
      <c r="BD35" s="9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2"/>
      <c r="CL35" s="42"/>
      <c r="CM35" s="42"/>
      <c r="CN35" s="42"/>
      <c r="CO35" s="42"/>
    </row>
    <row r="36" spans="1:93" s="4" customFormat="1" ht="228.75" outlineLevel="1" x14ac:dyDescent="0.25">
      <c r="A36" s="100">
        <f t="shared" si="34"/>
        <v>23</v>
      </c>
      <c r="B36" s="101" t="s">
        <v>16</v>
      </c>
      <c r="C36" s="102" t="s">
        <v>72</v>
      </c>
      <c r="D36" s="103" t="s">
        <v>19</v>
      </c>
      <c r="E36" s="104">
        <f t="shared" si="23"/>
        <v>16</v>
      </c>
      <c r="F36" s="105">
        <v>0</v>
      </c>
      <c r="G36" s="105">
        <f t="shared" si="0"/>
        <v>16.949152542372882</v>
      </c>
      <c r="H36" s="105">
        <v>20</v>
      </c>
      <c r="I36" s="105">
        <f t="shared" si="3"/>
        <v>0</v>
      </c>
      <c r="J36" s="104">
        <v>0</v>
      </c>
      <c r="K36" s="105">
        <f t="shared" si="4"/>
        <v>12.711864406779661</v>
      </c>
      <c r="L36" s="105">
        <v>15</v>
      </c>
      <c r="M36" s="105">
        <f t="shared" si="5"/>
        <v>0</v>
      </c>
      <c r="N36" s="106">
        <v>16</v>
      </c>
      <c r="O36" s="105">
        <f t="shared" si="6"/>
        <v>6.6101694915254239</v>
      </c>
      <c r="P36" s="105">
        <v>7.8</v>
      </c>
      <c r="Q36" s="105">
        <f t="shared" si="7"/>
        <v>124.8</v>
      </c>
      <c r="R36" s="104">
        <v>0</v>
      </c>
      <c r="S36" s="105">
        <f t="shared" si="8"/>
        <v>13.220338983050848</v>
      </c>
      <c r="T36" s="105">
        <v>15.6</v>
      </c>
      <c r="U36" s="105">
        <f t="shared" si="9"/>
        <v>0</v>
      </c>
      <c r="V36" s="105">
        <v>0</v>
      </c>
      <c r="W36" s="105">
        <f t="shared" si="35"/>
        <v>5.9322033898305087</v>
      </c>
      <c r="X36" s="105">
        <v>7</v>
      </c>
      <c r="Y36" s="105">
        <f t="shared" si="10"/>
        <v>0</v>
      </c>
      <c r="Z36" s="104">
        <v>0</v>
      </c>
      <c r="AA36" s="105">
        <f t="shared" si="25"/>
        <v>5.5084745762711869</v>
      </c>
      <c r="AB36" s="105">
        <v>6.5</v>
      </c>
      <c r="AC36" s="105">
        <f t="shared" si="12"/>
        <v>0</v>
      </c>
      <c r="AD36" s="105">
        <v>0</v>
      </c>
      <c r="AE36" s="105">
        <f t="shared" si="26"/>
        <v>4.2372881355932206</v>
      </c>
      <c r="AF36" s="105">
        <v>5</v>
      </c>
      <c r="AG36" s="105">
        <f t="shared" si="14"/>
        <v>0</v>
      </c>
      <c r="AH36" s="106">
        <v>0</v>
      </c>
      <c r="AI36" s="105">
        <f t="shared" si="15"/>
        <v>9.3220338983050848</v>
      </c>
      <c r="AJ36" s="105">
        <v>11</v>
      </c>
      <c r="AK36" s="105">
        <f t="shared" si="16"/>
        <v>0</v>
      </c>
      <c r="AL36" s="106">
        <v>0</v>
      </c>
      <c r="AM36" s="105">
        <f t="shared" si="17"/>
        <v>12.711864406779661</v>
      </c>
      <c r="AN36" s="105">
        <v>15</v>
      </c>
      <c r="AO36" s="105">
        <f t="shared" si="18"/>
        <v>0</v>
      </c>
      <c r="AP36" s="105">
        <f t="shared" si="19"/>
        <v>105.76271186440678</v>
      </c>
      <c r="AQ36" s="105">
        <f t="shared" si="20"/>
        <v>124.8</v>
      </c>
      <c r="AR36" s="106">
        <v>0</v>
      </c>
      <c r="AS36" s="105" t="s">
        <v>312</v>
      </c>
      <c r="AT36" s="107">
        <v>0</v>
      </c>
      <c r="AU36" s="107">
        <f t="shared" si="21"/>
        <v>5.0847457627118651</v>
      </c>
      <c r="AV36" s="107">
        <v>6</v>
      </c>
      <c r="AW36" s="107">
        <f t="shared" si="27"/>
        <v>0</v>
      </c>
      <c r="AX36" s="107">
        <f t="shared" si="22"/>
        <v>0</v>
      </c>
      <c r="AY36" s="108">
        <f t="shared" si="1"/>
        <v>105.76271186440678</v>
      </c>
      <c r="AZ36" s="109">
        <f t="shared" si="2"/>
        <v>124.8</v>
      </c>
      <c r="BA36" s="9"/>
      <c r="BB36" s="9"/>
      <c r="BC36" s="9"/>
      <c r="BD36" s="9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2"/>
      <c r="CL36" s="42"/>
      <c r="CM36" s="42"/>
      <c r="CN36" s="42"/>
      <c r="CO36" s="42"/>
    </row>
    <row r="37" spans="1:93" s="4" customFormat="1" ht="228.75" outlineLevel="1" x14ac:dyDescent="0.25">
      <c r="A37" s="100">
        <f t="shared" si="34"/>
        <v>24</v>
      </c>
      <c r="B37" s="101" t="s">
        <v>16</v>
      </c>
      <c r="C37" s="102" t="s">
        <v>73</v>
      </c>
      <c r="D37" s="103" t="s">
        <v>19</v>
      </c>
      <c r="E37" s="104">
        <f t="shared" si="23"/>
        <v>108</v>
      </c>
      <c r="F37" s="105">
        <v>0</v>
      </c>
      <c r="G37" s="105">
        <f t="shared" si="0"/>
        <v>16.949152542372882</v>
      </c>
      <c r="H37" s="105">
        <v>20</v>
      </c>
      <c r="I37" s="105">
        <f t="shared" si="3"/>
        <v>0</v>
      </c>
      <c r="J37" s="104">
        <v>0</v>
      </c>
      <c r="K37" s="105">
        <f t="shared" si="4"/>
        <v>12.711864406779661</v>
      </c>
      <c r="L37" s="105">
        <v>15</v>
      </c>
      <c r="M37" s="105">
        <f t="shared" si="5"/>
        <v>0</v>
      </c>
      <c r="N37" s="106">
        <v>108</v>
      </c>
      <c r="O37" s="105">
        <f t="shared" si="6"/>
        <v>6.6101694915254239</v>
      </c>
      <c r="P37" s="105">
        <v>7.8</v>
      </c>
      <c r="Q37" s="105">
        <f t="shared" si="7"/>
        <v>842.4</v>
      </c>
      <c r="R37" s="104">
        <v>0</v>
      </c>
      <c r="S37" s="105">
        <f t="shared" si="8"/>
        <v>13.220338983050848</v>
      </c>
      <c r="T37" s="105">
        <v>15.6</v>
      </c>
      <c r="U37" s="105">
        <f t="shared" si="9"/>
        <v>0</v>
      </c>
      <c r="V37" s="105">
        <v>0</v>
      </c>
      <c r="W37" s="105">
        <v>4.2</v>
      </c>
      <c r="X37" s="105">
        <v>7</v>
      </c>
      <c r="Y37" s="105">
        <f t="shared" si="10"/>
        <v>0</v>
      </c>
      <c r="Z37" s="104">
        <v>0</v>
      </c>
      <c r="AA37" s="105">
        <f t="shared" si="25"/>
        <v>5.5084745762711869</v>
      </c>
      <c r="AB37" s="105">
        <v>6.5</v>
      </c>
      <c r="AC37" s="105">
        <f t="shared" si="12"/>
        <v>0</v>
      </c>
      <c r="AD37" s="105">
        <v>0</v>
      </c>
      <c r="AE37" s="105">
        <f t="shared" si="26"/>
        <v>4.2372881355932206</v>
      </c>
      <c r="AF37" s="105">
        <v>5</v>
      </c>
      <c r="AG37" s="105">
        <f t="shared" si="14"/>
        <v>0</v>
      </c>
      <c r="AH37" s="106">
        <v>0</v>
      </c>
      <c r="AI37" s="105">
        <f t="shared" si="15"/>
        <v>9.3220338983050848</v>
      </c>
      <c r="AJ37" s="105">
        <v>11</v>
      </c>
      <c r="AK37" s="105">
        <f t="shared" si="16"/>
        <v>0</v>
      </c>
      <c r="AL37" s="106">
        <v>0</v>
      </c>
      <c r="AM37" s="105">
        <f t="shared" si="17"/>
        <v>12.711864406779661</v>
      </c>
      <c r="AN37" s="105">
        <v>15</v>
      </c>
      <c r="AO37" s="105">
        <f t="shared" si="18"/>
        <v>0</v>
      </c>
      <c r="AP37" s="105">
        <f t="shared" si="19"/>
        <v>713.89830508474574</v>
      </c>
      <c r="AQ37" s="105">
        <f t="shared" si="20"/>
        <v>842.4</v>
      </c>
      <c r="AR37" s="106">
        <v>0</v>
      </c>
      <c r="AS37" s="105" t="s">
        <v>312</v>
      </c>
      <c r="AT37" s="107">
        <v>0</v>
      </c>
      <c r="AU37" s="107">
        <f t="shared" si="21"/>
        <v>5.0847457627118651</v>
      </c>
      <c r="AV37" s="107">
        <v>6</v>
      </c>
      <c r="AW37" s="107">
        <f t="shared" si="27"/>
        <v>0</v>
      </c>
      <c r="AX37" s="107">
        <f t="shared" si="22"/>
        <v>0</v>
      </c>
      <c r="AY37" s="108">
        <f t="shared" si="1"/>
        <v>713.89830508474574</v>
      </c>
      <c r="AZ37" s="109">
        <f t="shared" si="2"/>
        <v>842.4</v>
      </c>
      <c r="BA37" s="9"/>
      <c r="BB37" s="9"/>
      <c r="BC37" s="9"/>
      <c r="BD37" s="9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2"/>
      <c r="CL37" s="42"/>
      <c r="CM37" s="42"/>
      <c r="CN37" s="42"/>
      <c r="CO37" s="42"/>
    </row>
    <row r="38" spans="1:93" s="4" customFormat="1" ht="228.75" outlineLevel="1" x14ac:dyDescent="0.25">
      <c r="A38" s="100">
        <f t="shared" si="34"/>
        <v>25</v>
      </c>
      <c r="B38" s="101" t="s">
        <v>16</v>
      </c>
      <c r="C38" s="102" t="s">
        <v>74</v>
      </c>
      <c r="D38" s="103" t="s">
        <v>19</v>
      </c>
      <c r="E38" s="104">
        <f t="shared" si="23"/>
        <v>18</v>
      </c>
      <c r="F38" s="105">
        <v>0</v>
      </c>
      <c r="G38" s="105">
        <f t="shared" si="0"/>
        <v>16.949152542372882</v>
      </c>
      <c r="H38" s="105">
        <v>20</v>
      </c>
      <c r="I38" s="105">
        <f t="shared" si="3"/>
        <v>0</v>
      </c>
      <c r="J38" s="104">
        <v>0</v>
      </c>
      <c r="K38" s="105">
        <f t="shared" si="4"/>
        <v>12.711864406779661</v>
      </c>
      <c r="L38" s="105">
        <v>15</v>
      </c>
      <c r="M38" s="105">
        <f t="shared" si="5"/>
        <v>0</v>
      </c>
      <c r="N38" s="106">
        <v>18</v>
      </c>
      <c r="O38" s="105">
        <f t="shared" si="6"/>
        <v>6.6101694915254239</v>
      </c>
      <c r="P38" s="105">
        <v>7.8</v>
      </c>
      <c r="Q38" s="105">
        <f t="shared" si="7"/>
        <v>140.4</v>
      </c>
      <c r="R38" s="104">
        <v>0</v>
      </c>
      <c r="S38" s="105">
        <f t="shared" si="8"/>
        <v>13.220338983050848</v>
      </c>
      <c r="T38" s="105">
        <v>15.6</v>
      </c>
      <c r="U38" s="105">
        <f t="shared" si="9"/>
        <v>0</v>
      </c>
      <c r="V38" s="105">
        <v>0</v>
      </c>
      <c r="W38" s="105">
        <f t="shared" ref="W38:W40" si="36">X38/1.18</f>
        <v>5.9322033898305087</v>
      </c>
      <c r="X38" s="105">
        <v>7</v>
      </c>
      <c r="Y38" s="105">
        <f t="shared" si="10"/>
        <v>0</v>
      </c>
      <c r="Z38" s="104">
        <v>0</v>
      </c>
      <c r="AA38" s="105">
        <f t="shared" si="25"/>
        <v>5.5084745762711869</v>
      </c>
      <c r="AB38" s="105">
        <v>6.5</v>
      </c>
      <c r="AC38" s="105">
        <f t="shared" si="12"/>
        <v>0</v>
      </c>
      <c r="AD38" s="105">
        <v>0</v>
      </c>
      <c r="AE38" s="105">
        <f t="shared" si="26"/>
        <v>4.2372881355932206</v>
      </c>
      <c r="AF38" s="105">
        <v>5</v>
      </c>
      <c r="AG38" s="105">
        <f t="shared" si="14"/>
        <v>0</v>
      </c>
      <c r="AH38" s="106">
        <v>0</v>
      </c>
      <c r="AI38" s="105">
        <f t="shared" si="15"/>
        <v>9.3220338983050848</v>
      </c>
      <c r="AJ38" s="105">
        <v>11</v>
      </c>
      <c r="AK38" s="105">
        <f t="shared" si="16"/>
        <v>0</v>
      </c>
      <c r="AL38" s="106">
        <v>0</v>
      </c>
      <c r="AM38" s="105">
        <f t="shared" si="17"/>
        <v>12.711864406779661</v>
      </c>
      <c r="AN38" s="105">
        <v>15</v>
      </c>
      <c r="AO38" s="105">
        <f t="shared" si="18"/>
        <v>0</v>
      </c>
      <c r="AP38" s="105">
        <f t="shared" si="19"/>
        <v>118.98305084745763</v>
      </c>
      <c r="AQ38" s="105">
        <f t="shared" si="20"/>
        <v>140.4</v>
      </c>
      <c r="AR38" s="106">
        <v>0</v>
      </c>
      <c r="AS38" s="105" t="s">
        <v>312</v>
      </c>
      <c r="AT38" s="107">
        <v>0</v>
      </c>
      <c r="AU38" s="107">
        <f t="shared" si="21"/>
        <v>5.0847457627118651</v>
      </c>
      <c r="AV38" s="107">
        <v>6</v>
      </c>
      <c r="AW38" s="107">
        <f t="shared" si="27"/>
        <v>0</v>
      </c>
      <c r="AX38" s="107">
        <f t="shared" si="22"/>
        <v>0</v>
      </c>
      <c r="AY38" s="108">
        <f t="shared" si="1"/>
        <v>118.98305084745763</v>
      </c>
      <c r="AZ38" s="109">
        <f t="shared" si="2"/>
        <v>140.4</v>
      </c>
      <c r="BA38" s="9"/>
      <c r="BB38" s="9"/>
      <c r="BC38" s="9"/>
      <c r="BD38" s="9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2"/>
      <c r="CL38" s="42"/>
      <c r="CM38" s="42"/>
      <c r="CN38" s="42"/>
      <c r="CO38" s="42"/>
    </row>
    <row r="39" spans="1:93" s="4" customFormat="1" ht="228.75" outlineLevel="1" x14ac:dyDescent="0.25">
      <c r="A39" s="100">
        <f t="shared" si="34"/>
        <v>26</v>
      </c>
      <c r="B39" s="101" t="s">
        <v>16</v>
      </c>
      <c r="C39" s="102" t="s">
        <v>75</v>
      </c>
      <c r="D39" s="103" t="s">
        <v>19</v>
      </c>
      <c r="E39" s="104">
        <f t="shared" si="23"/>
        <v>72</v>
      </c>
      <c r="F39" s="105">
        <v>0</v>
      </c>
      <c r="G39" s="105">
        <f t="shared" si="0"/>
        <v>16.949152542372882</v>
      </c>
      <c r="H39" s="105">
        <v>20</v>
      </c>
      <c r="I39" s="105">
        <f t="shared" si="3"/>
        <v>0</v>
      </c>
      <c r="J39" s="104">
        <v>0</v>
      </c>
      <c r="K39" s="105">
        <f t="shared" si="4"/>
        <v>12.711864406779661</v>
      </c>
      <c r="L39" s="105">
        <v>15</v>
      </c>
      <c r="M39" s="105">
        <f t="shared" si="5"/>
        <v>0</v>
      </c>
      <c r="N39" s="106">
        <v>72</v>
      </c>
      <c r="O39" s="105">
        <f t="shared" si="6"/>
        <v>6.6101694915254239</v>
      </c>
      <c r="P39" s="105">
        <v>7.8</v>
      </c>
      <c r="Q39" s="105">
        <f t="shared" si="7"/>
        <v>561.6</v>
      </c>
      <c r="R39" s="104">
        <v>0</v>
      </c>
      <c r="S39" s="105">
        <f t="shared" si="8"/>
        <v>13.220338983050848</v>
      </c>
      <c r="T39" s="105">
        <v>15.6</v>
      </c>
      <c r="U39" s="105">
        <f t="shared" si="9"/>
        <v>0</v>
      </c>
      <c r="V39" s="105">
        <v>0</v>
      </c>
      <c r="W39" s="105">
        <f t="shared" si="36"/>
        <v>5.9322033898305087</v>
      </c>
      <c r="X39" s="105">
        <v>7</v>
      </c>
      <c r="Y39" s="105">
        <f t="shared" si="10"/>
        <v>0</v>
      </c>
      <c r="Z39" s="104">
        <v>0</v>
      </c>
      <c r="AA39" s="105">
        <f t="shared" si="25"/>
        <v>5.5084745762711869</v>
      </c>
      <c r="AB39" s="105">
        <v>6.5</v>
      </c>
      <c r="AC39" s="105">
        <f t="shared" si="12"/>
        <v>0</v>
      </c>
      <c r="AD39" s="105">
        <v>0</v>
      </c>
      <c r="AE39" s="105">
        <f t="shared" si="26"/>
        <v>4.2372881355932206</v>
      </c>
      <c r="AF39" s="105">
        <v>5</v>
      </c>
      <c r="AG39" s="105">
        <f t="shared" si="14"/>
        <v>0</v>
      </c>
      <c r="AH39" s="106">
        <v>0</v>
      </c>
      <c r="AI39" s="105">
        <f t="shared" si="15"/>
        <v>9.3220338983050848</v>
      </c>
      <c r="AJ39" s="105">
        <v>11</v>
      </c>
      <c r="AK39" s="105">
        <f t="shared" si="16"/>
        <v>0</v>
      </c>
      <c r="AL39" s="106">
        <v>0</v>
      </c>
      <c r="AM39" s="105">
        <f t="shared" si="17"/>
        <v>12.711864406779661</v>
      </c>
      <c r="AN39" s="105">
        <v>15</v>
      </c>
      <c r="AO39" s="105">
        <f t="shared" si="18"/>
        <v>0</v>
      </c>
      <c r="AP39" s="105">
        <f t="shared" si="19"/>
        <v>475.93220338983053</v>
      </c>
      <c r="AQ39" s="105">
        <f t="shared" si="20"/>
        <v>561.6</v>
      </c>
      <c r="AR39" s="106">
        <v>0</v>
      </c>
      <c r="AS39" s="105" t="s">
        <v>312</v>
      </c>
      <c r="AT39" s="107">
        <v>0</v>
      </c>
      <c r="AU39" s="107">
        <f t="shared" si="21"/>
        <v>5.0847457627118651</v>
      </c>
      <c r="AV39" s="107">
        <v>6</v>
      </c>
      <c r="AW39" s="107">
        <f t="shared" si="27"/>
        <v>0</v>
      </c>
      <c r="AX39" s="107">
        <f t="shared" si="22"/>
        <v>0</v>
      </c>
      <c r="AY39" s="108">
        <f t="shared" si="1"/>
        <v>475.93220338983053</v>
      </c>
      <c r="AZ39" s="109">
        <f t="shared" si="2"/>
        <v>561.6</v>
      </c>
      <c r="BA39" s="9"/>
      <c r="BB39" s="9"/>
      <c r="BC39" s="9"/>
      <c r="BD39" s="9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2"/>
      <c r="CL39" s="42"/>
      <c r="CM39" s="42"/>
      <c r="CN39" s="42"/>
      <c r="CO39" s="42"/>
    </row>
    <row r="40" spans="1:93" s="4" customFormat="1" ht="228.75" outlineLevel="1" x14ac:dyDescent="0.25">
      <c r="A40" s="100">
        <f t="shared" si="34"/>
        <v>27</v>
      </c>
      <c r="B40" s="101" t="s">
        <v>16</v>
      </c>
      <c r="C40" s="102" t="s">
        <v>76</v>
      </c>
      <c r="D40" s="103" t="s">
        <v>19</v>
      </c>
      <c r="E40" s="104">
        <f t="shared" si="23"/>
        <v>44</v>
      </c>
      <c r="F40" s="105">
        <v>0</v>
      </c>
      <c r="G40" s="105">
        <f t="shared" si="0"/>
        <v>16.949152542372882</v>
      </c>
      <c r="H40" s="105">
        <v>20</v>
      </c>
      <c r="I40" s="105">
        <f t="shared" si="3"/>
        <v>0</v>
      </c>
      <c r="J40" s="104">
        <v>0</v>
      </c>
      <c r="K40" s="105">
        <f t="shared" si="4"/>
        <v>12.711864406779661</v>
      </c>
      <c r="L40" s="105">
        <v>15</v>
      </c>
      <c r="M40" s="105">
        <f t="shared" si="5"/>
        <v>0</v>
      </c>
      <c r="N40" s="106">
        <v>44</v>
      </c>
      <c r="O40" s="105">
        <f t="shared" si="6"/>
        <v>6.6101694915254239</v>
      </c>
      <c r="P40" s="105">
        <v>7.8</v>
      </c>
      <c r="Q40" s="105">
        <f t="shared" si="7"/>
        <v>343.2</v>
      </c>
      <c r="R40" s="104">
        <v>0</v>
      </c>
      <c r="S40" s="105">
        <f t="shared" si="8"/>
        <v>13.220338983050848</v>
      </c>
      <c r="T40" s="105">
        <v>15.6</v>
      </c>
      <c r="U40" s="105">
        <f t="shared" si="9"/>
        <v>0</v>
      </c>
      <c r="V40" s="105">
        <v>0</v>
      </c>
      <c r="W40" s="105">
        <f t="shared" si="36"/>
        <v>5.9322033898305087</v>
      </c>
      <c r="X40" s="105">
        <v>7</v>
      </c>
      <c r="Y40" s="105">
        <f t="shared" si="10"/>
        <v>0</v>
      </c>
      <c r="Z40" s="104">
        <v>0</v>
      </c>
      <c r="AA40" s="105">
        <f t="shared" si="25"/>
        <v>5.5084745762711869</v>
      </c>
      <c r="AB40" s="105">
        <v>6.5</v>
      </c>
      <c r="AC40" s="105">
        <f t="shared" si="12"/>
        <v>0</v>
      </c>
      <c r="AD40" s="105">
        <v>0</v>
      </c>
      <c r="AE40" s="105">
        <f t="shared" si="26"/>
        <v>4.2372881355932206</v>
      </c>
      <c r="AF40" s="105">
        <v>5</v>
      </c>
      <c r="AG40" s="105">
        <f t="shared" si="14"/>
        <v>0</v>
      </c>
      <c r="AH40" s="106">
        <v>0</v>
      </c>
      <c r="AI40" s="105">
        <f t="shared" si="15"/>
        <v>9.3220338983050848</v>
      </c>
      <c r="AJ40" s="105">
        <v>11</v>
      </c>
      <c r="AK40" s="105">
        <f t="shared" si="16"/>
        <v>0</v>
      </c>
      <c r="AL40" s="106">
        <v>0</v>
      </c>
      <c r="AM40" s="105">
        <f t="shared" si="17"/>
        <v>12.711864406779661</v>
      </c>
      <c r="AN40" s="105">
        <v>15</v>
      </c>
      <c r="AO40" s="105">
        <f t="shared" si="18"/>
        <v>0</v>
      </c>
      <c r="AP40" s="105">
        <f t="shared" si="19"/>
        <v>290.84745762711867</v>
      </c>
      <c r="AQ40" s="105">
        <f t="shared" si="20"/>
        <v>343.2</v>
      </c>
      <c r="AR40" s="106">
        <v>0</v>
      </c>
      <c r="AS40" s="105" t="s">
        <v>312</v>
      </c>
      <c r="AT40" s="107">
        <v>0</v>
      </c>
      <c r="AU40" s="107">
        <f t="shared" si="21"/>
        <v>5.0847457627118651</v>
      </c>
      <c r="AV40" s="107">
        <v>6</v>
      </c>
      <c r="AW40" s="107">
        <f t="shared" si="27"/>
        <v>0</v>
      </c>
      <c r="AX40" s="107">
        <f t="shared" si="22"/>
        <v>0</v>
      </c>
      <c r="AY40" s="108">
        <f t="shared" si="1"/>
        <v>290.84745762711867</v>
      </c>
      <c r="AZ40" s="109">
        <f t="shared" si="2"/>
        <v>343.2</v>
      </c>
      <c r="BA40" s="9"/>
      <c r="BB40" s="9"/>
      <c r="BC40" s="9"/>
      <c r="BD40" s="9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2"/>
      <c r="CL40" s="42"/>
      <c r="CM40" s="42"/>
      <c r="CN40" s="42"/>
      <c r="CO40" s="42"/>
    </row>
    <row r="41" spans="1:93" s="4" customFormat="1" ht="228.75" outlineLevel="1" x14ac:dyDescent="0.25">
      <c r="A41" s="100">
        <f t="shared" si="34"/>
        <v>28</v>
      </c>
      <c r="B41" s="101" t="s">
        <v>16</v>
      </c>
      <c r="C41" s="102" t="s">
        <v>77</v>
      </c>
      <c r="D41" s="103" t="s">
        <v>19</v>
      </c>
      <c r="E41" s="104">
        <f t="shared" si="23"/>
        <v>46</v>
      </c>
      <c r="F41" s="105">
        <v>0</v>
      </c>
      <c r="G41" s="105">
        <f t="shared" si="0"/>
        <v>16.949152542372882</v>
      </c>
      <c r="H41" s="105">
        <v>20</v>
      </c>
      <c r="I41" s="105">
        <f t="shared" si="3"/>
        <v>0</v>
      </c>
      <c r="J41" s="104">
        <v>0</v>
      </c>
      <c r="K41" s="105">
        <f t="shared" si="4"/>
        <v>12.711864406779661</v>
      </c>
      <c r="L41" s="105">
        <v>15</v>
      </c>
      <c r="M41" s="105">
        <f t="shared" si="5"/>
        <v>0</v>
      </c>
      <c r="N41" s="106">
        <v>46</v>
      </c>
      <c r="O41" s="105">
        <f t="shared" si="6"/>
        <v>6.6101694915254239</v>
      </c>
      <c r="P41" s="105">
        <v>7.8</v>
      </c>
      <c r="Q41" s="105">
        <f t="shared" si="7"/>
        <v>358.8</v>
      </c>
      <c r="R41" s="104">
        <v>0</v>
      </c>
      <c r="S41" s="105">
        <f t="shared" si="8"/>
        <v>13.220338983050848</v>
      </c>
      <c r="T41" s="105">
        <v>15.6</v>
      </c>
      <c r="U41" s="105">
        <f t="shared" si="9"/>
        <v>0</v>
      </c>
      <c r="V41" s="105">
        <v>0</v>
      </c>
      <c r="W41" s="105">
        <v>4.2</v>
      </c>
      <c r="X41" s="105">
        <v>7</v>
      </c>
      <c r="Y41" s="105">
        <f t="shared" si="10"/>
        <v>0</v>
      </c>
      <c r="Z41" s="104">
        <v>0</v>
      </c>
      <c r="AA41" s="105">
        <f t="shared" si="25"/>
        <v>5.5084745762711869</v>
      </c>
      <c r="AB41" s="105">
        <v>6.5</v>
      </c>
      <c r="AC41" s="105">
        <f t="shared" si="12"/>
        <v>0</v>
      </c>
      <c r="AD41" s="105">
        <v>0</v>
      </c>
      <c r="AE41" s="105">
        <f t="shared" si="26"/>
        <v>4.2372881355932206</v>
      </c>
      <c r="AF41" s="105">
        <v>5</v>
      </c>
      <c r="AG41" s="105">
        <f t="shared" si="14"/>
        <v>0</v>
      </c>
      <c r="AH41" s="106">
        <v>0</v>
      </c>
      <c r="AI41" s="105">
        <f t="shared" si="15"/>
        <v>9.3220338983050848</v>
      </c>
      <c r="AJ41" s="105">
        <v>11</v>
      </c>
      <c r="AK41" s="105">
        <f t="shared" si="16"/>
        <v>0</v>
      </c>
      <c r="AL41" s="106">
        <v>0</v>
      </c>
      <c r="AM41" s="105">
        <f t="shared" si="17"/>
        <v>12.711864406779661</v>
      </c>
      <c r="AN41" s="105">
        <v>15</v>
      </c>
      <c r="AO41" s="105">
        <f t="shared" si="18"/>
        <v>0</v>
      </c>
      <c r="AP41" s="105">
        <f t="shared" si="19"/>
        <v>304.06779661016952</v>
      </c>
      <c r="AQ41" s="105">
        <f t="shared" si="20"/>
        <v>358.8</v>
      </c>
      <c r="AR41" s="106">
        <v>0</v>
      </c>
      <c r="AS41" s="105" t="s">
        <v>312</v>
      </c>
      <c r="AT41" s="107">
        <v>0</v>
      </c>
      <c r="AU41" s="107">
        <f t="shared" si="21"/>
        <v>5.0847457627118651</v>
      </c>
      <c r="AV41" s="107">
        <v>6</v>
      </c>
      <c r="AW41" s="107">
        <f t="shared" si="27"/>
        <v>0</v>
      </c>
      <c r="AX41" s="107">
        <f t="shared" si="22"/>
        <v>0</v>
      </c>
      <c r="AY41" s="108">
        <f t="shared" si="1"/>
        <v>304.06779661016952</v>
      </c>
      <c r="AZ41" s="109">
        <f t="shared" si="2"/>
        <v>358.8</v>
      </c>
      <c r="BA41" s="9"/>
      <c r="BB41" s="9"/>
      <c r="BC41" s="9"/>
      <c r="BD41" s="9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2"/>
      <c r="CL41" s="42"/>
      <c r="CM41" s="42"/>
      <c r="CN41" s="42"/>
      <c r="CO41" s="42"/>
    </row>
    <row r="42" spans="1:93" s="4" customFormat="1" ht="228.75" outlineLevel="1" x14ac:dyDescent="0.25">
      <c r="A42" s="100">
        <f t="shared" si="34"/>
        <v>29</v>
      </c>
      <c r="B42" s="101" t="s">
        <v>16</v>
      </c>
      <c r="C42" s="102" t="s">
        <v>78</v>
      </c>
      <c r="D42" s="103" t="s">
        <v>19</v>
      </c>
      <c r="E42" s="104">
        <f t="shared" si="23"/>
        <v>50</v>
      </c>
      <c r="F42" s="105">
        <v>0</v>
      </c>
      <c r="G42" s="105">
        <f t="shared" si="0"/>
        <v>16.949152542372882</v>
      </c>
      <c r="H42" s="105">
        <v>20</v>
      </c>
      <c r="I42" s="105">
        <f t="shared" si="3"/>
        <v>0</v>
      </c>
      <c r="J42" s="104">
        <v>0</v>
      </c>
      <c r="K42" s="105">
        <f t="shared" si="4"/>
        <v>12.711864406779661</v>
      </c>
      <c r="L42" s="105">
        <v>15</v>
      </c>
      <c r="M42" s="105">
        <f t="shared" si="5"/>
        <v>0</v>
      </c>
      <c r="N42" s="106">
        <v>50</v>
      </c>
      <c r="O42" s="105">
        <f t="shared" si="6"/>
        <v>6.6101694915254239</v>
      </c>
      <c r="P42" s="105">
        <v>7.8</v>
      </c>
      <c r="Q42" s="105">
        <f t="shared" si="7"/>
        <v>390</v>
      </c>
      <c r="R42" s="104">
        <v>0</v>
      </c>
      <c r="S42" s="105">
        <f t="shared" si="8"/>
        <v>13.220338983050848</v>
      </c>
      <c r="T42" s="105">
        <v>15.6</v>
      </c>
      <c r="U42" s="105">
        <f t="shared" si="9"/>
        <v>0</v>
      </c>
      <c r="V42" s="105">
        <v>0</v>
      </c>
      <c r="W42" s="105">
        <f t="shared" ref="W42:W45" si="37">X42/1.18</f>
        <v>5.9322033898305087</v>
      </c>
      <c r="X42" s="105">
        <v>7</v>
      </c>
      <c r="Y42" s="105">
        <f t="shared" si="10"/>
        <v>0</v>
      </c>
      <c r="Z42" s="104">
        <v>0</v>
      </c>
      <c r="AA42" s="105">
        <f t="shared" si="25"/>
        <v>5.5084745762711869</v>
      </c>
      <c r="AB42" s="105">
        <v>6.5</v>
      </c>
      <c r="AC42" s="105">
        <f t="shared" si="12"/>
        <v>0</v>
      </c>
      <c r="AD42" s="105">
        <v>0</v>
      </c>
      <c r="AE42" s="105">
        <f t="shared" si="26"/>
        <v>4.2372881355932206</v>
      </c>
      <c r="AF42" s="105">
        <v>5</v>
      </c>
      <c r="AG42" s="105">
        <f t="shared" si="14"/>
        <v>0</v>
      </c>
      <c r="AH42" s="106">
        <v>0</v>
      </c>
      <c r="AI42" s="105">
        <f t="shared" si="15"/>
        <v>9.3220338983050848</v>
      </c>
      <c r="AJ42" s="105">
        <v>11</v>
      </c>
      <c r="AK42" s="105">
        <f t="shared" si="16"/>
        <v>0</v>
      </c>
      <c r="AL42" s="106">
        <v>0</v>
      </c>
      <c r="AM42" s="105">
        <f t="shared" si="17"/>
        <v>12.711864406779661</v>
      </c>
      <c r="AN42" s="105">
        <v>15</v>
      </c>
      <c r="AO42" s="105">
        <f t="shared" si="18"/>
        <v>0</v>
      </c>
      <c r="AP42" s="105">
        <f t="shared" si="19"/>
        <v>330.50847457627123</v>
      </c>
      <c r="AQ42" s="105">
        <f t="shared" si="20"/>
        <v>390</v>
      </c>
      <c r="AR42" s="106">
        <v>0</v>
      </c>
      <c r="AS42" s="105" t="s">
        <v>312</v>
      </c>
      <c r="AT42" s="107">
        <v>0</v>
      </c>
      <c r="AU42" s="107">
        <f t="shared" si="21"/>
        <v>5.0847457627118651</v>
      </c>
      <c r="AV42" s="107">
        <v>6</v>
      </c>
      <c r="AW42" s="107">
        <f t="shared" si="27"/>
        <v>0</v>
      </c>
      <c r="AX42" s="107">
        <f t="shared" si="22"/>
        <v>0</v>
      </c>
      <c r="AY42" s="108">
        <f t="shared" si="1"/>
        <v>330.50847457627123</v>
      </c>
      <c r="AZ42" s="109">
        <f t="shared" si="2"/>
        <v>390</v>
      </c>
      <c r="BA42" s="9"/>
      <c r="BB42" s="9"/>
      <c r="BC42" s="9"/>
      <c r="BD42" s="9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2"/>
      <c r="CL42" s="42"/>
      <c r="CM42" s="42"/>
      <c r="CN42" s="42"/>
      <c r="CO42" s="42"/>
    </row>
    <row r="43" spans="1:93" s="42" customFormat="1" ht="228.75" outlineLevel="1" x14ac:dyDescent="0.25">
      <c r="A43" s="100">
        <f t="shared" si="34"/>
        <v>30</v>
      </c>
      <c r="B43" s="101" t="s">
        <v>304</v>
      </c>
      <c r="C43" s="102" t="s">
        <v>79</v>
      </c>
      <c r="D43" s="103" t="s">
        <v>19</v>
      </c>
      <c r="E43" s="104">
        <f t="shared" si="23"/>
        <v>6</v>
      </c>
      <c r="F43" s="105">
        <v>0</v>
      </c>
      <c r="G43" s="105">
        <f t="shared" si="0"/>
        <v>16.949152542372882</v>
      </c>
      <c r="H43" s="105">
        <v>20</v>
      </c>
      <c r="I43" s="105">
        <f t="shared" si="3"/>
        <v>0</v>
      </c>
      <c r="J43" s="104">
        <v>0</v>
      </c>
      <c r="K43" s="105">
        <f t="shared" si="4"/>
        <v>12.711864406779661</v>
      </c>
      <c r="L43" s="105">
        <v>15</v>
      </c>
      <c r="M43" s="105">
        <f t="shared" si="5"/>
        <v>0</v>
      </c>
      <c r="N43" s="106">
        <v>6</v>
      </c>
      <c r="O43" s="105">
        <f t="shared" si="6"/>
        <v>6.6101694915254239</v>
      </c>
      <c r="P43" s="105">
        <v>7.8</v>
      </c>
      <c r="Q43" s="105">
        <f t="shared" si="7"/>
        <v>46.8</v>
      </c>
      <c r="R43" s="104">
        <v>0</v>
      </c>
      <c r="S43" s="105">
        <f t="shared" si="8"/>
        <v>13.220338983050848</v>
      </c>
      <c r="T43" s="105">
        <v>15.6</v>
      </c>
      <c r="U43" s="105">
        <f t="shared" si="9"/>
        <v>0</v>
      </c>
      <c r="V43" s="105">
        <v>0</v>
      </c>
      <c r="W43" s="105">
        <f t="shared" si="37"/>
        <v>5.9322033898305087</v>
      </c>
      <c r="X43" s="105">
        <v>7</v>
      </c>
      <c r="Y43" s="105">
        <f t="shared" si="10"/>
        <v>0</v>
      </c>
      <c r="Z43" s="104">
        <v>0</v>
      </c>
      <c r="AA43" s="105">
        <f t="shared" si="25"/>
        <v>5.5084745762711869</v>
      </c>
      <c r="AB43" s="105">
        <v>6.5</v>
      </c>
      <c r="AC43" s="105">
        <f t="shared" si="12"/>
        <v>0</v>
      </c>
      <c r="AD43" s="105">
        <v>0</v>
      </c>
      <c r="AE43" s="105">
        <f t="shared" si="26"/>
        <v>4.2372881355932206</v>
      </c>
      <c r="AF43" s="105">
        <v>5</v>
      </c>
      <c r="AG43" s="105">
        <f t="shared" si="14"/>
        <v>0</v>
      </c>
      <c r="AH43" s="106">
        <v>0</v>
      </c>
      <c r="AI43" s="105">
        <f t="shared" si="15"/>
        <v>9.3220338983050848</v>
      </c>
      <c r="AJ43" s="105">
        <v>11</v>
      </c>
      <c r="AK43" s="105">
        <f t="shared" si="16"/>
        <v>0</v>
      </c>
      <c r="AL43" s="106">
        <v>0</v>
      </c>
      <c r="AM43" s="105">
        <f t="shared" si="17"/>
        <v>12.711864406779661</v>
      </c>
      <c r="AN43" s="105">
        <v>15</v>
      </c>
      <c r="AO43" s="105">
        <f t="shared" si="18"/>
        <v>0</v>
      </c>
      <c r="AP43" s="105">
        <f t="shared" si="19"/>
        <v>39.66101694915254</v>
      </c>
      <c r="AQ43" s="105">
        <f t="shared" si="20"/>
        <v>46.8</v>
      </c>
      <c r="AR43" s="106">
        <v>0</v>
      </c>
      <c r="AS43" s="105" t="s">
        <v>312</v>
      </c>
      <c r="AT43" s="107">
        <v>0</v>
      </c>
      <c r="AU43" s="107">
        <f t="shared" si="21"/>
        <v>5.0847457627118651</v>
      </c>
      <c r="AV43" s="107">
        <v>6</v>
      </c>
      <c r="AW43" s="107">
        <f t="shared" si="27"/>
        <v>0</v>
      </c>
      <c r="AX43" s="107">
        <f t="shared" si="22"/>
        <v>0</v>
      </c>
      <c r="AY43" s="108">
        <f t="shared" si="1"/>
        <v>39.66101694915254</v>
      </c>
      <c r="AZ43" s="109">
        <f t="shared" si="2"/>
        <v>46.8</v>
      </c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</row>
    <row r="44" spans="1:93" s="4" customFormat="1" ht="228.75" outlineLevel="1" x14ac:dyDescent="0.25">
      <c r="A44" s="100">
        <f>A43+1</f>
        <v>31</v>
      </c>
      <c r="B44" s="101" t="s">
        <v>50</v>
      </c>
      <c r="C44" s="102" t="s">
        <v>41</v>
      </c>
      <c r="D44" s="103" t="s">
        <v>19</v>
      </c>
      <c r="E44" s="104">
        <f t="shared" si="23"/>
        <v>529.35000000000014</v>
      </c>
      <c r="F44" s="105">
        <v>0</v>
      </c>
      <c r="G44" s="105">
        <f t="shared" si="0"/>
        <v>16.949152542372882</v>
      </c>
      <c r="H44" s="105">
        <v>20</v>
      </c>
      <c r="I44" s="105">
        <f t="shared" si="3"/>
        <v>0</v>
      </c>
      <c r="J44" s="104">
        <f>62.08+216.42</f>
        <v>278.5</v>
      </c>
      <c r="K44" s="105">
        <f t="shared" si="4"/>
        <v>12.711864406779661</v>
      </c>
      <c r="L44" s="105">
        <v>15</v>
      </c>
      <c r="M44" s="105">
        <f t="shared" si="5"/>
        <v>4177.5</v>
      </c>
      <c r="N44" s="106">
        <f>10.8+4.7</f>
        <v>15.5</v>
      </c>
      <c r="O44" s="105">
        <f t="shared" si="6"/>
        <v>6.6101694915254239</v>
      </c>
      <c r="P44" s="105">
        <v>7.8</v>
      </c>
      <c r="Q44" s="105">
        <f t="shared" si="7"/>
        <v>120.89999999999999</v>
      </c>
      <c r="R44" s="104">
        <v>0</v>
      </c>
      <c r="S44" s="105">
        <f t="shared" si="8"/>
        <v>13.220338983050848</v>
      </c>
      <c r="T44" s="105">
        <v>15.6</v>
      </c>
      <c r="U44" s="105">
        <f t="shared" si="9"/>
        <v>0</v>
      </c>
      <c r="V44" s="105">
        <f>59.6</f>
        <v>59.6</v>
      </c>
      <c r="W44" s="105">
        <f t="shared" si="37"/>
        <v>5.9322033898305087</v>
      </c>
      <c r="X44" s="105">
        <v>7</v>
      </c>
      <c r="Y44" s="105">
        <f t="shared" si="10"/>
        <v>417.2</v>
      </c>
      <c r="Z44" s="104">
        <f>34.6+48.8+20.9+65.2+1.8</f>
        <v>171.3</v>
      </c>
      <c r="AA44" s="105">
        <f t="shared" si="25"/>
        <v>5.5084745762711869</v>
      </c>
      <c r="AB44" s="105">
        <v>6.5</v>
      </c>
      <c r="AC44" s="105">
        <f t="shared" si="12"/>
        <v>1113.45</v>
      </c>
      <c r="AD44" s="105">
        <v>0</v>
      </c>
      <c r="AE44" s="105">
        <f t="shared" si="26"/>
        <v>4.2372881355932206</v>
      </c>
      <c r="AF44" s="105">
        <v>5</v>
      </c>
      <c r="AG44" s="105">
        <f t="shared" si="14"/>
        <v>0</v>
      </c>
      <c r="AH44" s="106">
        <v>0</v>
      </c>
      <c r="AI44" s="105">
        <f t="shared" si="15"/>
        <v>9.3220338983050848</v>
      </c>
      <c r="AJ44" s="105">
        <v>11</v>
      </c>
      <c r="AK44" s="105">
        <f t="shared" si="16"/>
        <v>0</v>
      </c>
      <c r="AL44" s="106">
        <v>4.45</v>
      </c>
      <c r="AM44" s="105">
        <f t="shared" si="17"/>
        <v>12.711864406779661</v>
      </c>
      <c r="AN44" s="105">
        <v>15</v>
      </c>
      <c r="AO44" s="105">
        <f t="shared" si="18"/>
        <v>66.75</v>
      </c>
      <c r="AP44" s="105">
        <f t="shared" si="19"/>
        <v>4996.4406779661012</v>
      </c>
      <c r="AQ44" s="105">
        <f t="shared" si="20"/>
        <v>5895.7999999999993</v>
      </c>
      <c r="AR44" s="106">
        <v>0</v>
      </c>
      <c r="AS44" s="105" t="s">
        <v>312</v>
      </c>
      <c r="AT44" s="107">
        <v>0</v>
      </c>
      <c r="AU44" s="107">
        <f t="shared" si="21"/>
        <v>5.0847457627118651</v>
      </c>
      <c r="AV44" s="107">
        <v>6</v>
      </c>
      <c r="AW44" s="107">
        <f t="shared" si="27"/>
        <v>0</v>
      </c>
      <c r="AX44" s="107">
        <f t="shared" si="22"/>
        <v>0</v>
      </c>
      <c r="AY44" s="108">
        <f t="shared" si="1"/>
        <v>4996.4406779661012</v>
      </c>
      <c r="AZ44" s="109">
        <f t="shared" si="2"/>
        <v>5895.7999999999993</v>
      </c>
      <c r="BA44" s="9"/>
      <c r="BB44" s="9"/>
      <c r="BC44" s="9"/>
      <c r="BD44" s="9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2"/>
      <c r="CL44" s="42"/>
      <c r="CM44" s="42"/>
      <c r="CN44" s="42"/>
      <c r="CO44" s="42"/>
    </row>
    <row r="45" spans="1:93" s="42" customFormat="1" ht="228.75" outlineLevel="1" x14ac:dyDescent="0.25">
      <c r="A45" s="100">
        <f t="shared" si="34"/>
        <v>32</v>
      </c>
      <c r="B45" s="113" t="s">
        <v>50</v>
      </c>
      <c r="C45" s="114" t="s">
        <v>305</v>
      </c>
      <c r="D45" s="115" t="s">
        <v>19</v>
      </c>
      <c r="E45" s="104">
        <f t="shared" si="23"/>
        <v>3992.7</v>
      </c>
      <c r="F45" s="116">
        <v>0</v>
      </c>
      <c r="G45" s="116">
        <f t="shared" si="0"/>
        <v>16.949152542372882</v>
      </c>
      <c r="H45" s="116">
        <v>20</v>
      </c>
      <c r="I45" s="116">
        <f t="shared" si="3"/>
        <v>0</v>
      </c>
      <c r="J45" s="117">
        <f>141+197.2+11.4+128.6</f>
        <v>478.19999999999993</v>
      </c>
      <c r="K45" s="116">
        <f t="shared" si="4"/>
        <v>12.711864406779661</v>
      </c>
      <c r="L45" s="105">
        <v>15</v>
      </c>
      <c r="M45" s="116">
        <f t="shared" si="5"/>
        <v>7172.9999999999991</v>
      </c>
      <c r="N45" s="118">
        <v>0</v>
      </c>
      <c r="O45" s="116">
        <f t="shared" si="6"/>
        <v>6.6101694915254239</v>
      </c>
      <c r="P45" s="105">
        <v>7.8</v>
      </c>
      <c r="Q45" s="116">
        <f t="shared" si="7"/>
        <v>0</v>
      </c>
      <c r="R45" s="117">
        <v>0</v>
      </c>
      <c r="S45" s="116">
        <f t="shared" si="8"/>
        <v>13.220338983050848</v>
      </c>
      <c r="T45" s="105">
        <v>15.6</v>
      </c>
      <c r="U45" s="116">
        <f t="shared" si="9"/>
        <v>0</v>
      </c>
      <c r="V45" s="116">
        <v>2404.1</v>
      </c>
      <c r="W45" s="116">
        <f t="shared" si="37"/>
        <v>5.9322033898305087</v>
      </c>
      <c r="X45" s="105">
        <v>7</v>
      </c>
      <c r="Y45" s="116">
        <f t="shared" si="10"/>
        <v>16828.7</v>
      </c>
      <c r="Z45" s="117">
        <f>180.2+43.5+58.9+40.8+12.9+26.3+33.8+51.5+38.8+434.2+71.8+47.7</f>
        <v>1040.3999999999999</v>
      </c>
      <c r="AA45" s="116">
        <f t="shared" si="25"/>
        <v>5.5084745762711869</v>
      </c>
      <c r="AB45" s="105">
        <v>6.5</v>
      </c>
      <c r="AC45" s="116">
        <f t="shared" si="12"/>
        <v>6762.5999999999995</v>
      </c>
      <c r="AD45" s="116">
        <v>0</v>
      </c>
      <c r="AE45" s="116">
        <f t="shared" si="26"/>
        <v>4.2372881355932206</v>
      </c>
      <c r="AF45" s="116">
        <v>5</v>
      </c>
      <c r="AG45" s="116">
        <f t="shared" si="14"/>
        <v>0</v>
      </c>
      <c r="AH45" s="118">
        <v>0</v>
      </c>
      <c r="AI45" s="116">
        <f t="shared" si="15"/>
        <v>9.3220338983050848</v>
      </c>
      <c r="AJ45" s="105">
        <v>11</v>
      </c>
      <c r="AK45" s="116">
        <f t="shared" si="16"/>
        <v>0</v>
      </c>
      <c r="AL45" s="118">
        <v>70</v>
      </c>
      <c r="AM45" s="116">
        <f t="shared" si="17"/>
        <v>12.711864406779661</v>
      </c>
      <c r="AN45" s="116">
        <v>15</v>
      </c>
      <c r="AO45" s="116">
        <f t="shared" si="18"/>
        <v>1050</v>
      </c>
      <c r="AP45" s="116">
        <f t="shared" si="19"/>
        <v>26961.271186440677</v>
      </c>
      <c r="AQ45" s="116">
        <f t="shared" si="20"/>
        <v>31814.3</v>
      </c>
      <c r="AR45" s="118">
        <v>4157.2</v>
      </c>
      <c r="AS45" s="105" t="s">
        <v>312</v>
      </c>
      <c r="AT45" s="119">
        <v>0</v>
      </c>
      <c r="AU45" s="119">
        <f t="shared" si="21"/>
        <v>5.0847457627118651</v>
      </c>
      <c r="AV45" s="107">
        <v>6</v>
      </c>
      <c r="AW45" s="119">
        <f t="shared" si="27"/>
        <v>21138.305084745763</v>
      </c>
      <c r="AX45" s="119">
        <f>AV45*AR45</f>
        <v>24943.199999999997</v>
      </c>
      <c r="AY45" s="116">
        <f t="shared" si="1"/>
        <v>48099.576271186437</v>
      </c>
      <c r="AZ45" s="120">
        <f t="shared" si="2"/>
        <v>56757.5</v>
      </c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</row>
    <row r="46" spans="1:93" s="42" customFormat="1" ht="183" outlineLevel="1" x14ac:dyDescent="0.25">
      <c r="A46" s="100">
        <f t="shared" si="34"/>
        <v>33</v>
      </c>
      <c r="B46" s="121" t="s">
        <v>50</v>
      </c>
      <c r="C46" s="122" t="s">
        <v>80</v>
      </c>
      <c r="D46" s="123" t="s">
        <v>19</v>
      </c>
      <c r="E46" s="104">
        <f t="shared" si="23"/>
        <v>1811.9</v>
      </c>
      <c r="F46" s="124">
        <v>0</v>
      </c>
      <c r="G46" s="105">
        <f t="shared" si="0"/>
        <v>16.949152542372882</v>
      </c>
      <c r="H46" s="105">
        <v>20</v>
      </c>
      <c r="I46" s="124">
        <f t="shared" si="3"/>
        <v>0</v>
      </c>
      <c r="J46" s="125">
        <v>1081.8</v>
      </c>
      <c r="K46" s="105">
        <f t="shared" si="4"/>
        <v>12.711864406779661</v>
      </c>
      <c r="L46" s="105">
        <v>15</v>
      </c>
      <c r="M46" s="124">
        <f t="shared" si="5"/>
        <v>16227</v>
      </c>
      <c r="N46" s="126">
        <v>0</v>
      </c>
      <c r="O46" s="124">
        <f t="shared" si="6"/>
        <v>6.6101694915254239</v>
      </c>
      <c r="P46" s="105">
        <v>7.8</v>
      </c>
      <c r="Q46" s="124">
        <f t="shared" si="7"/>
        <v>0</v>
      </c>
      <c r="R46" s="104">
        <v>0</v>
      </c>
      <c r="S46" s="124">
        <f t="shared" si="8"/>
        <v>13.220338983050848</v>
      </c>
      <c r="T46" s="105">
        <v>15.6</v>
      </c>
      <c r="U46" s="124">
        <f t="shared" si="9"/>
        <v>0</v>
      </c>
      <c r="V46" s="124">
        <v>9.9</v>
      </c>
      <c r="W46" s="105">
        <f t="shared" ref="W46:W47" si="38">X46/1.18</f>
        <v>5.9322033898305087</v>
      </c>
      <c r="X46" s="105">
        <v>7</v>
      </c>
      <c r="Y46" s="124">
        <f t="shared" si="10"/>
        <v>69.3</v>
      </c>
      <c r="Z46" s="125">
        <v>623.79999999999995</v>
      </c>
      <c r="AA46" s="105">
        <f t="shared" si="25"/>
        <v>5.5084745762711869</v>
      </c>
      <c r="AB46" s="105">
        <v>6.5</v>
      </c>
      <c r="AC46" s="124">
        <f t="shared" si="12"/>
        <v>4054.7</v>
      </c>
      <c r="AD46" s="124">
        <v>0</v>
      </c>
      <c r="AE46" s="105">
        <f t="shared" si="26"/>
        <v>4.2372881355932206</v>
      </c>
      <c r="AF46" s="105">
        <v>5</v>
      </c>
      <c r="AG46" s="124">
        <f t="shared" si="14"/>
        <v>0</v>
      </c>
      <c r="AH46" s="126">
        <v>73.2</v>
      </c>
      <c r="AI46" s="105">
        <f t="shared" si="15"/>
        <v>9.3220338983050848</v>
      </c>
      <c r="AJ46" s="105">
        <v>11</v>
      </c>
      <c r="AK46" s="124">
        <f t="shared" si="16"/>
        <v>805.2</v>
      </c>
      <c r="AL46" s="126">
        <v>23.2</v>
      </c>
      <c r="AM46" s="124">
        <f t="shared" si="17"/>
        <v>12.711864406779661</v>
      </c>
      <c r="AN46" s="105">
        <v>15</v>
      </c>
      <c r="AO46" s="124">
        <f t="shared" si="18"/>
        <v>348</v>
      </c>
      <c r="AP46" s="105">
        <f t="shared" si="19"/>
        <v>18223.898305084749</v>
      </c>
      <c r="AQ46" s="105">
        <f t="shared" si="20"/>
        <v>21504.2</v>
      </c>
      <c r="AR46" s="126">
        <v>0</v>
      </c>
      <c r="AS46" s="105" t="s">
        <v>312</v>
      </c>
      <c r="AT46" s="107">
        <v>0</v>
      </c>
      <c r="AU46" s="107">
        <f t="shared" si="21"/>
        <v>5.0847457627118651</v>
      </c>
      <c r="AV46" s="107">
        <v>6</v>
      </c>
      <c r="AW46" s="127">
        <f t="shared" si="27"/>
        <v>0</v>
      </c>
      <c r="AX46" s="127">
        <f>AV46*AR46</f>
        <v>0</v>
      </c>
      <c r="AY46" s="108">
        <f t="shared" si="1"/>
        <v>18223.898305084749</v>
      </c>
      <c r="AZ46" s="109">
        <f t="shared" si="2"/>
        <v>21504.2</v>
      </c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</row>
    <row r="47" spans="1:93" s="43" customFormat="1" ht="183" outlineLevel="1" x14ac:dyDescent="0.25">
      <c r="A47" s="100">
        <f t="shared" si="34"/>
        <v>34</v>
      </c>
      <c r="B47" s="113" t="s">
        <v>50</v>
      </c>
      <c r="C47" s="114" t="s">
        <v>229</v>
      </c>
      <c r="D47" s="115" t="s">
        <v>19</v>
      </c>
      <c r="E47" s="104">
        <f t="shared" si="23"/>
        <v>5439.8</v>
      </c>
      <c r="F47" s="116">
        <v>0</v>
      </c>
      <c r="G47" s="105">
        <f t="shared" si="0"/>
        <v>16.949152542372882</v>
      </c>
      <c r="H47" s="105">
        <v>20</v>
      </c>
      <c r="I47" s="116">
        <f t="shared" si="3"/>
        <v>0</v>
      </c>
      <c r="J47" s="117">
        <v>1798.4</v>
      </c>
      <c r="K47" s="105">
        <f t="shared" si="4"/>
        <v>12.711864406779661</v>
      </c>
      <c r="L47" s="105">
        <v>15</v>
      </c>
      <c r="M47" s="116">
        <f t="shared" si="5"/>
        <v>26976</v>
      </c>
      <c r="N47" s="118">
        <v>1417</v>
      </c>
      <c r="O47" s="116">
        <f t="shared" si="6"/>
        <v>6.6101694915254239</v>
      </c>
      <c r="P47" s="105">
        <v>7.8</v>
      </c>
      <c r="Q47" s="116">
        <f t="shared" si="7"/>
        <v>11052.6</v>
      </c>
      <c r="R47" s="104">
        <v>0</v>
      </c>
      <c r="S47" s="116">
        <f t="shared" si="8"/>
        <v>13.220338983050848</v>
      </c>
      <c r="T47" s="105">
        <v>15.6</v>
      </c>
      <c r="U47" s="116">
        <f t="shared" si="9"/>
        <v>0</v>
      </c>
      <c r="V47" s="116">
        <v>168.2</v>
      </c>
      <c r="W47" s="105">
        <f t="shared" si="38"/>
        <v>5.9322033898305087</v>
      </c>
      <c r="X47" s="105">
        <v>7</v>
      </c>
      <c r="Y47" s="116">
        <f t="shared" si="10"/>
        <v>1177.3999999999999</v>
      </c>
      <c r="Z47" s="117">
        <f>1656.3+305.6</f>
        <v>1961.9</v>
      </c>
      <c r="AA47" s="105">
        <f t="shared" si="25"/>
        <v>5.5084745762711869</v>
      </c>
      <c r="AB47" s="105">
        <v>6.5</v>
      </c>
      <c r="AC47" s="116">
        <f t="shared" si="12"/>
        <v>12752.35</v>
      </c>
      <c r="AD47" s="116">
        <v>0</v>
      </c>
      <c r="AE47" s="105">
        <f t="shared" si="26"/>
        <v>4.2372881355932206</v>
      </c>
      <c r="AF47" s="105">
        <v>5</v>
      </c>
      <c r="AG47" s="116">
        <f t="shared" si="14"/>
        <v>0</v>
      </c>
      <c r="AH47" s="118">
        <v>0</v>
      </c>
      <c r="AI47" s="105">
        <f t="shared" si="15"/>
        <v>9.3220338983050848</v>
      </c>
      <c r="AJ47" s="105">
        <v>11</v>
      </c>
      <c r="AK47" s="116">
        <f t="shared" si="16"/>
        <v>0</v>
      </c>
      <c r="AL47" s="118">
        <v>94.3</v>
      </c>
      <c r="AM47" s="116">
        <f t="shared" si="17"/>
        <v>12.711864406779661</v>
      </c>
      <c r="AN47" s="105">
        <v>15</v>
      </c>
      <c r="AO47" s="116">
        <f t="shared" si="18"/>
        <v>1414.5</v>
      </c>
      <c r="AP47" s="105">
        <f t="shared" si="19"/>
        <v>45231.228813559326</v>
      </c>
      <c r="AQ47" s="105">
        <f t="shared" si="20"/>
        <v>53372.85</v>
      </c>
      <c r="AR47" s="118">
        <v>0</v>
      </c>
      <c r="AS47" s="105" t="s">
        <v>312</v>
      </c>
      <c r="AT47" s="107">
        <v>0</v>
      </c>
      <c r="AU47" s="107">
        <f t="shared" si="21"/>
        <v>5.0847457627118651</v>
      </c>
      <c r="AV47" s="107">
        <v>6</v>
      </c>
      <c r="AW47" s="119">
        <f t="shared" si="27"/>
        <v>0</v>
      </c>
      <c r="AX47" s="119">
        <f>AV47*AR47</f>
        <v>0</v>
      </c>
      <c r="AY47" s="108">
        <f t="shared" si="1"/>
        <v>45231.228813559326</v>
      </c>
      <c r="AZ47" s="109">
        <f t="shared" si="2"/>
        <v>53372.85</v>
      </c>
      <c r="BA47" s="76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69"/>
    </row>
    <row r="48" spans="1:93" s="40" customFormat="1" ht="45.75" outlineLevel="1" x14ac:dyDescent="0.25">
      <c r="A48" s="151" t="s">
        <v>46</v>
      </c>
      <c r="B48" s="152"/>
      <c r="C48" s="152"/>
      <c r="D48" s="110"/>
      <c r="E48" s="104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1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1"/>
      <c r="AQ48" s="128"/>
      <c r="AR48" s="110"/>
      <c r="AS48" s="105"/>
      <c r="AT48" s="110"/>
      <c r="AU48" s="110"/>
      <c r="AV48" s="129"/>
      <c r="AW48" s="110"/>
      <c r="AX48" s="110"/>
      <c r="AY48" s="111"/>
      <c r="AZ48" s="130"/>
      <c r="BA48" s="77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39"/>
    </row>
    <row r="49" spans="1:93" s="4" customFormat="1" ht="228.75" outlineLevel="1" x14ac:dyDescent="0.25">
      <c r="A49" s="100">
        <f>A47+1</f>
        <v>35</v>
      </c>
      <c r="B49" s="101" t="s">
        <v>268</v>
      </c>
      <c r="C49" s="102" t="s">
        <v>65</v>
      </c>
      <c r="D49" s="103" t="s">
        <v>19</v>
      </c>
      <c r="E49" s="104">
        <f t="shared" si="23"/>
        <v>1213.0999999999999</v>
      </c>
      <c r="F49" s="105">
        <v>0</v>
      </c>
      <c r="G49" s="105">
        <f t="shared" si="0"/>
        <v>16.949152542372882</v>
      </c>
      <c r="H49" s="105">
        <v>20</v>
      </c>
      <c r="I49" s="105">
        <f t="shared" si="3"/>
        <v>0</v>
      </c>
      <c r="J49" s="104">
        <f>179+228+87.7</f>
        <v>494.7</v>
      </c>
      <c r="K49" s="105">
        <f t="shared" si="4"/>
        <v>12.711864406779661</v>
      </c>
      <c r="L49" s="105">
        <v>15</v>
      </c>
      <c r="M49" s="105">
        <f t="shared" si="5"/>
        <v>7420.5</v>
      </c>
      <c r="N49" s="106">
        <v>160.5</v>
      </c>
      <c r="O49" s="105">
        <f t="shared" si="6"/>
        <v>6.6101694915254239</v>
      </c>
      <c r="P49" s="105">
        <v>7.8</v>
      </c>
      <c r="Q49" s="105">
        <f t="shared" si="7"/>
        <v>1251.8999999999999</v>
      </c>
      <c r="R49" s="104">
        <f>52</f>
        <v>52</v>
      </c>
      <c r="S49" s="105">
        <f t="shared" si="8"/>
        <v>13.220338983050848</v>
      </c>
      <c r="T49" s="105">
        <v>15.6</v>
      </c>
      <c r="U49" s="105">
        <f t="shared" si="9"/>
        <v>811.19999999999993</v>
      </c>
      <c r="V49" s="105">
        <v>0</v>
      </c>
      <c r="W49" s="105">
        <f t="shared" ref="W49:W51" si="39">X49/1.18</f>
        <v>5.9322033898305087</v>
      </c>
      <c r="X49" s="105">
        <v>7</v>
      </c>
      <c r="Y49" s="105">
        <f t="shared" si="10"/>
        <v>0</v>
      </c>
      <c r="Z49" s="104">
        <f>84.2+10.8+44.9+180</f>
        <v>319.89999999999998</v>
      </c>
      <c r="AA49" s="105">
        <f t="shared" si="25"/>
        <v>5.5084745762711869</v>
      </c>
      <c r="AB49" s="105">
        <v>6.5</v>
      </c>
      <c r="AC49" s="105">
        <f t="shared" si="12"/>
        <v>2079.35</v>
      </c>
      <c r="AD49" s="105">
        <v>0</v>
      </c>
      <c r="AE49" s="105">
        <f t="shared" si="26"/>
        <v>4.2372881355932206</v>
      </c>
      <c r="AF49" s="105">
        <v>5</v>
      </c>
      <c r="AG49" s="105">
        <f t="shared" si="14"/>
        <v>0</v>
      </c>
      <c r="AH49" s="106">
        <f>22+140.5</f>
        <v>162.5</v>
      </c>
      <c r="AI49" s="105">
        <f t="shared" si="15"/>
        <v>9.3220338983050848</v>
      </c>
      <c r="AJ49" s="105">
        <v>11</v>
      </c>
      <c r="AK49" s="105">
        <f t="shared" si="16"/>
        <v>1787.5</v>
      </c>
      <c r="AL49" s="106">
        <f>9.4+14.1</f>
        <v>23.5</v>
      </c>
      <c r="AM49" s="105">
        <f t="shared" si="17"/>
        <v>12.711864406779661</v>
      </c>
      <c r="AN49" s="105">
        <v>15</v>
      </c>
      <c r="AO49" s="105">
        <f t="shared" si="18"/>
        <v>352.5</v>
      </c>
      <c r="AP49" s="105">
        <f t="shared" si="19"/>
        <v>11612.669491525425</v>
      </c>
      <c r="AQ49" s="105">
        <f t="shared" si="20"/>
        <v>13702.95</v>
      </c>
      <c r="AR49" s="106">
        <f>631+540</f>
        <v>1171</v>
      </c>
      <c r="AS49" s="105" t="s">
        <v>312</v>
      </c>
      <c r="AT49" s="107">
        <v>0</v>
      </c>
      <c r="AU49" s="107">
        <f t="shared" ref="AU49:AU77" si="40">AV49/1.18</f>
        <v>5.0847457627118651</v>
      </c>
      <c r="AV49" s="107">
        <v>6</v>
      </c>
      <c r="AW49" s="107">
        <f t="shared" si="27"/>
        <v>5954.2372881355941</v>
      </c>
      <c r="AX49" s="107">
        <f t="shared" si="22"/>
        <v>7026</v>
      </c>
      <c r="AY49" s="108">
        <f t="shared" si="1"/>
        <v>17566.906779661018</v>
      </c>
      <c r="AZ49" s="109">
        <f t="shared" si="2"/>
        <v>20728.95</v>
      </c>
      <c r="BA49" s="9"/>
      <c r="BB49" s="9"/>
      <c r="BC49" s="9"/>
      <c r="BD49" s="9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2"/>
      <c r="CL49" s="42"/>
      <c r="CM49" s="42"/>
      <c r="CN49" s="42"/>
      <c r="CO49" s="42"/>
    </row>
    <row r="50" spans="1:93" s="4" customFormat="1" ht="228.75" outlineLevel="1" x14ac:dyDescent="0.25">
      <c r="A50" s="100">
        <f>A49+1</f>
        <v>36</v>
      </c>
      <c r="B50" s="101" t="s">
        <v>16</v>
      </c>
      <c r="C50" s="102" t="s">
        <v>81</v>
      </c>
      <c r="D50" s="103" t="s">
        <v>19</v>
      </c>
      <c r="E50" s="104">
        <f t="shared" si="23"/>
        <v>996.4</v>
      </c>
      <c r="F50" s="105">
        <v>0</v>
      </c>
      <c r="G50" s="105">
        <f t="shared" si="0"/>
        <v>16.949152542372882</v>
      </c>
      <c r="H50" s="105">
        <v>20</v>
      </c>
      <c r="I50" s="105">
        <f t="shared" si="3"/>
        <v>0</v>
      </c>
      <c r="J50" s="104">
        <f>70.4+149.4+146+47.9</f>
        <v>413.7</v>
      </c>
      <c r="K50" s="105">
        <f t="shared" si="4"/>
        <v>12.711864406779661</v>
      </c>
      <c r="L50" s="105">
        <v>15</v>
      </c>
      <c r="M50" s="105">
        <f t="shared" si="5"/>
        <v>6205.5</v>
      </c>
      <c r="N50" s="106">
        <f>188.8-8.3</f>
        <v>180.5</v>
      </c>
      <c r="O50" s="105">
        <f t="shared" si="6"/>
        <v>6.6101694915254239</v>
      </c>
      <c r="P50" s="105">
        <v>7.8</v>
      </c>
      <c r="Q50" s="105">
        <f t="shared" si="7"/>
        <v>1407.8999999999999</v>
      </c>
      <c r="R50" s="104">
        <v>0</v>
      </c>
      <c r="S50" s="105">
        <f t="shared" si="8"/>
        <v>13.220338983050848</v>
      </c>
      <c r="T50" s="105">
        <v>15.6</v>
      </c>
      <c r="U50" s="105">
        <f t="shared" si="9"/>
        <v>0</v>
      </c>
      <c r="V50" s="105">
        <v>0</v>
      </c>
      <c r="W50" s="105">
        <f t="shared" si="39"/>
        <v>5.9322033898305087</v>
      </c>
      <c r="X50" s="105">
        <v>7</v>
      </c>
      <c r="Y50" s="105">
        <f t="shared" si="10"/>
        <v>0</v>
      </c>
      <c r="Z50" s="104">
        <f>57+43+57+30+56.3+37+8.3</f>
        <v>288.60000000000002</v>
      </c>
      <c r="AA50" s="105">
        <f t="shared" si="25"/>
        <v>5.5084745762711869</v>
      </c>
      <c r="AB50" s="105">
        <v>6.5</v>
      </c>
      <c r="AC50" s="105">
        <f t="shared" si="12"/>
        <v>1875.9</v>
      </c>
      <c r="AD50" s="105">
        <v>0</v>
      </c>
      <c r="AE50" s="105">
        <f t="shared" si="26"/>
        <v>4.2372881355932206</v>
      </c>
      <c r="AF50" s="105">
        <v>5</v>
      </c>
      <c r="AG50" s="105">
        <f t="shared" si="14"/>
        <v>0</v>
      </c>
      <c r="AH50" s="106">
        <f>29.8+47</f>
        <v>76.8</v>
      </c>
      <c r="AI50" s="105">
        <f t="shared" si="15"/>
        <v>9.3220338983050848</v>
      </c>
      <c r="AJ50" s="105">
        <v>11</v>
      </c>
      <c r="AK50" s="105">
        <f t="shared" si="16"/>
        <v>844.8</v>
      </c>
      <c r="AL50" s="106">
        <v>36.799999999999997</v>
      </c>
      <c r="AM50" s="105">
        <f t="shared" si="17"/>
        <v>12.711864406779661</v>
      </c>
      <c r="AN50" s="105">
        <v>15</v>
      </c>
      <c r="AO50" s="105">
        <f t="shared" si="18"/>
        <v>552</v>
      </c>
      <c r="AP50" s="105">
        <f t="shared" si="19"/>
        <v>9225.5084745762706</v>
      </c>
      <c r="AQ50" s="105">
        <f t="shared" si="20"/>
        <v>10886.099999999999</v>
      </c>
      <c r="AR50" s="106">
        <v>398</v>
      </c>
      <c r="AS50" s="105" t="s">
        <v>312</v>
      </c>
      <c r="AT50" s="107">
        <v>0</v>
      </c>
      <c r="AU50" s="107">
        <f t="shared" si="40"/>
        <v>5.0847457627118651</v>
      </c>
      <c r="AV50" s="107">
        <v>6</v>
      </c>
      <c r="AW50" s="107">
        <f t="shared" si="27"/>
        <v>2023.7288135593224</v>
      </c>
      <c r="AX50" s="107">
        <f t="shared" si="22"/>
        <v>2388</v>
      </c>
      <c r="AY50" s="108">
        <f t="shared" si="1"/>
        <v>11249.237288135593</v>
      </c>
      <c r="AZ50" s="109">
        <f t="shared" si="2"/>
        <v>13274.099999999999</v>
      </c>
      <c r="BA50" s="9"/>
      <c r="BB50" s="9"/>
      <c r="BC50" s="9"/>
      <c r="BD50" s="9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2"/>
      <c r="CL50" s="42"/>
      <c r="CM50" s="42"/>
      <c r="CN50" s="42"/>
      <c r="CO50" s="42"/>
    </row>
    <row r="51" spans="1:93" s="4" customFormat="1" ht="228.75" outlineLevel="1" x14ac:dyDescent="0.25">
      <c r="A51" s="100">
        <f t="shared" ref="A51:A59" si="41">A50+1</f>
        <v>37</v>
      </c>
      <c r="B51" s="101" t="s">
        <v>16</v>
      </c>
      <c r="C51" s="102" t="s">
        <v>278</v>
      </c>
      <c r="D51" s="103" t="s">
        <v>19</v>
      </c>
      <c r="E51" s="104">
        <f t="shared" si="23"/>
        <v>63</v>
      </c>
      <c r="F51" s="105">
        <v>0</v>
      </c>
      <c r="G51" s="105">
        <f t="shared" si="0"/>
        <v>16.949152542372882</v>
      </c>
      <c r="H51" s="105">
        <v>20</v>
      </c>
      <c r="I51" s="105">
        <f t="shared" si="3"/>
        <v>0</v>
      </c>
      <c r="J51" s="104">
        <v>30.1</v>
      </c>
      <c r="K51" s="105">
        <f t="shared" si="4"/>
        <v>12.711864406779661</v>
      </c>
      <c r="L51" s="105">
        <v>15</v>
      </c>
      <c r="M51" s="105">
        <f t="shared" si="5"/>
        <v>451.5</v>
      </c>
      <c r="N51" s="106">
        <v>0</v>
      </c>
      <c r="O51" s="105">
        <f t="shared" si="6"/>
        <v>6.6101694915254239</v>
      </c>
      <c r="P51" s="105">
        <v>7.8</v>
      </c>
      <c r="Q51" s="105">
        <f t="shared" si="7"/>
        <v>0</v>
      </c>
      <c r="R51" s="104">
        <v>0</v>
      </c>
      <c r="S51" s="105">
        <f t="shared" si="8"/>
        <v>13.220338983050848</v>
      </c>
      <c r="T51" s="105">
        <v>15.6</v>
      </c>
      <c r="U51" s="105">
        <f t="shared" si="9"/>
        <v>0</v>
      </c>
      <c r="V51" s="105">
        <v>0</v>
      </c>
      <c r="W51" s="105">
        <f t="shared" si="39"/>
        <v>5.9322033898305087</v>
      </c>
      <c r="X51" s="105">
        <v>7</v>
      </c>
      <c r="Y51" s="105">
        <f t="shared" si="10"/>
        <v>0</v>
      </c>
      <c r="Z51" s="104">
        <v>30.4</v>
      </c>
      <c r="AA51" s="105">
        <f t="shared" si="25"/>
        <v>5.5084745762711869</v>
      </c>
      <c r="AB51" s="105">
        <v>6.5</v>
      </c>
      <c r="AC51" s="105">
        <f t="shared" si="12"/>
        <v>197.6</v>
      </c>
      <c r="AD51" s="105">
        <v>0</v>
      </c>
      <c r="AE51" s="105">
        <f t="shared" si="26"/>
        <v>4.2372881355932206</v>
      </c>
      <c r="AF51" s="105">
        <v>5</v>
      </c>
      <c r="AG51" s="105">
        <f t="shared" si="14"/>
        <v>0</v>
      </c>
      <c r="AH51" s="106">
        <v>0</v>
      </c>
      <c r="AI51" s="105">
        <f t="shared" si="15"/>
        <v>9.3220338983050848</v>
      </c>
      <c r="AJ51" s="105">
        <v>11</v>
      </c>
      <c r="AK51" s="105">
        <f t="shared" si="16"/>
        <v>0</v>
      </c>
      <c r="AL51" s="106">
        <v>2.5</v>
      </c>
      <c r="AM51" s="105">
        <f t="shared" si="17"/>
        <v>12.711864406779661</v>
      </c>
      <c r="AN51" s="105">
        <v>15</v>
      </c>
      <c r="AO51" s="105">
        <f t="shared" si="18"/>
        <v>37.5</v>
      </c>
      <c r="AP51" s="105">
        <f t="shared" si="19"/>
        <v>581.86440677966107</v>
      </c>
      <c r="AQ51" s="105">
        <f t="shared" si="20"/>
        <v>686.6</v>
      </c>
      <c r="AR51" s="106">
        <v>127</v>
      </c>
      <c r="AS51" s="105" t="s">
        <v>312</v>
      </c>
      <c r="AT51" s="107">
        <v>0</v>
      </c>
      <c r="AU51" s="107">
        <f t="shared" si="40"/>
        <v>5.0847457627118651</v>
      </c>
      <c r="AV51" s="107">
        <v>6</v>
      </c>
      <c r="AW51" s="107">
        <f t="shared" si="27"/>
        <v>645.76271186440681</v>
      </c>
      <c r="AX51" s="107">
        <f t="shared" si="22"/>
        <v>762</v>
      </c>
      <c r="AY51" s="108">
        <f t="shared" si="1"/>
        <v>1227.6271186440679</v>
      </c>
      <c r="AZ51" s="109">
        <f t="shared" si="2"/>
        <v>1448.6</v>
      </c>
      <c r="BA51" s="9"/>
      <c r="BB51" s="9"/>
      <c r="BC51" s="9"/>
      <c r="BD51" s="9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2"/>
      <c r="CL51" s="42"/>
      <c r="CM51" s="42"/>
      <c r="CN51" s="42"/>
      <c r="CO51" s="42"/>
    </row>
    <row r="52" spans="1:93" s="4" customFormat="1" ht="228.75" outlineLevel="1" x14ac:dyDescent="0.25">
      <c r="A52" s="100">
        <f t="shared" si="41"/>
        <v>38</v>
      </c>
      <c r="B52" s="101" t="s">
        <v>16</v>
      </c>
      <c r="C52" s="102" t="s">
        <v>277</v>
      </c>
      <c r="D52" s="103" t="s">
        <v>19</v>
      </c>
      <c r="E52" s="104">
        <f t="shared" si="23"/>
        <v>379.3</v>
      </c>
      <c r="F52" s="105">
        <v>0</v>
      </c>
      <c r="G52" s="105">
        <f t="shared" si="0"/>
        <v>16.949152542372882</v>
      </c>
      <c r="H52" s="105">
        <v>20</v>
      </c>
      <c r="I52" s="105">
        <f t="shared" si="3"/>
        <v>0</v>
      </c>
      <c r="J52" s="104">
        <f>215.8</f>
        <v>215.8</v>
      </c>
      <c r="K52" s="105">
        <f t="shared" si="4"/>
        <v>12.711864406779661</v>
      </c>
      <c r="L52" s="105">
        <v>15</v>
      </c>
      <c r="M52" s="105">
        <f t="shared" si="5"/>
        <v>3237</v>
      </c>
      <c r="N52" s="106">
        <v>25</v>
      </c>
      <c r="O52" s="105">
        <f t="shared" si="6"/>
        <v>6.6101694915254239</v>
      </c>
      <c r="P52" s="105">
        <v>7.8</v>
      </c>
      <c r="Q52" s="105">
        <f t="shared" si="7"/>
        <v>195</v>
      </c>
      <c r="R52" s="104">
        <v>0</v>
      </c>
      <c r="S52" s="105">
        <f t="shared" si="8"/>
        <v>13.220338983050848</v>
      </c>
      <c r="T52" s="105">
        <v>15.6</v>
      </c>
      <c r="U52" s="105">
        <f t="shared" si="9"/>
        <v>0</v>
      </c>
      <c r="V52" s="105">
        <v>0</v>
      </c>
      <c r="W52" s="105">
        <v>4.2</v>
      </c>
      <c r="X52" s="105">
        <v>7</v>
      </c>
      <c r="Y52" s="105">
        <f t="shared" si="10"/>
        <v>0</v>
      </c>
      <c r="Z52" s="104">
        <f>51.8+46.3</f>
        <v>98.1</v>
      </c>
      <c r="AA52" s="105">
        <f t="shared" si="25"/>
        <v>5.5084745762711869</v>
      </c>
      <c r="AB52" s="105">
        <v>6.5</v>
      </c>
      <c r="AC52" s="105">
        <f t="shared" si="12"/>
        <v>637.65</v>
      </c>
      <c r="AD52" s="105">
        <v>0</v>
      </c>
      <c r="AE52" s="105">
        <f t="shared" si="26"/>
        <v>4.2372881355932206</v>
      </c>
      <c r="AF52" s="105">
        <v>5</v>
      </c>
      <c r="AG52" s="105">
        <f t="shared" si="14"/>
        <v>0</v>
      </c>
      <c r="AH52" s="106">
        <v>35.799999999999997</v>
      </c>
      <c r="AI52" s="105">
        <f t="shared" si="15"/>
        <v>9.3220338983050848</v>
      </c>
      <c r="AJ52" s="105">
        <v>11</v>
      </c>
      <c r="AK52" s="105">
        <f t="shared" si="16"/>
        <v>393.79999999999995</v>
      </c>
      <c r="AL52" s="106">
        <v>4.5999999999999996</v>
      </c>
      <c r="AM52" s="105">
        <f t="shared" si="17"/>
        <v>12.711864406779661</v>
      </c>
      <c r="AN52" s="105">
        <v>15</v>
      </c>
      <c r="AO52" s="105">
        <f t="shared" si="18"/>
        <v>69</v>
      </c>
      <c r="AP52" s="105">
        <f t="shared" si="19"/>
        <v>3841.0593220338983</v>
      </c>
      <c r="AQ52" s="105">
        <f t="shared" si="20"/>
        <v>4532.45</v>
      </c>
      <c r="AR52" s="106">
        <v>280</v>
      </c>
      <c r="AS52" s="105" t="s">
        <v>312</v>
      </c>
      <c r="AT52" s="107">
        <v>0</v>
      </c>
      <c r="AU52" s="107">
        <f t="shared" si="40"/>
        <v>5.0847457627118651</v>
      </c>
      <c r="AV52" s="107">
        <v>6</v>
      </c>
      <c r="AW52" s="107">
        <f t="shared" si="27"/>
        <v>1423.7288135593221</v>
      </c>
      <c r="AX52" s="107">
        <f t="shared" si="22"/>
        <v>1680</v>
      </c>
      <c r="AY52" s="108">
        <f t="shared" si="1"/>
        <v>5264.7881355932204</v>
      </c>
      <c r="AZ52" s="109">
        <f t="shared" si="2"/>
        <v>6212.45</v>
      </c>
      <c r="BA52" s="9"/>
      <c r="BB52" s="9"/>
      <c r="BC52" s="9"/>
      <c r="BD52" s="9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2"/>
      <c r="CL52" s="42"/>
      <c r="CM52" s="42"/>
      <c r="CN52" s="42"/>
      <c r="CO52" s="42"/>
    </row>
    <row r="53" spans="1:93" s="4" customFormat="1" ht="274.5" outlineLevel="1" x14ac:dyDescent="0.25">
      <c r="A53" s="100">
        <f t="shared" si="41"/>
        <v>39</v>
      </c>
      <c r="B53" s="101" t="s">
        <v>287</v>
      </c>
      <c r="C53" s="102" t="s">
        <v>82</v>
      </c>
      <c r="D53" s="103" t="s">
        <v>19</v>
      </c>
      <c r="E53" s="104">
        <f t="shared" si="23"/>
        <v>520.29999999999995</v>
      </c>
      <c r="F53" s="105">
        <v>0</v>
      </c>
      <c r="G53" s="105">
        <f t="shared" si="0"/>
        <v>16.949152542372882</v>
      </c>
      <c r="H53" s="105">
        <v>20</v>
      </c>
      <c r="I53" s="105">
        <f t="shared" si="3"/>
        <v>0</v>
      </c>
      <c r="J53" s="104">
        <v>292.3</v>
      </c>
      <c r="K53" s="105">
        <f t="shared" si="4"/>
        <v>12.711864406779661</v>
      </c>
      <c r="L53" s="105">
        <v>15</v>
      </c>
      <c r="M53" s="105">
        <f t="shared" si="5"/>
        <v>4384.5</v>
      </c>
      <c r="N53" s="106">
        <v>0</v>
      </c>
      <c r="O53" s="105">
        <f t="shared" si="6"/>
        <v>6.6101694915254239</v>
      </c>
      <c r="P53" s="105">
        <v>7.8</v>
      </c>
      <c r="Q53" s="105">
        <f t="shared" si="7"/>
        <v>0</v>
      </c>
      <c r="R53" s="104">
        <v>67</v>
      </c>
      <c r="S53" s="105">
        <f t="shared" si="8"/>
        <v>13.220338983050848</v>
      </c>
      <c r="T53" s="105">
        <v>15.6</v>
      </c>
      <c r="U53" s="105">
        <f t="shared" si="9"/>
        <v>1045.2</v>
      </c>
      <c r="V53" s="105">
        <v>0</v>
      </c>
      <c r="W53" s="105">
        <f t="shared" ref="W53:W55" si="42">X53/1.18</f>
        <v>5.9322033898305087</v>
      </c>
      <c r="X53" s="105">
        <v>7</v>
      </c>
      <c r="Y53" s="105">
        <f t="shared" si="10"/>
        <v>0</v>
      </c>
      <c r="Z53" s="104">
        <f>50.4+23.8+28.8+18+18+18</f>
        <v>157</v>
      </c>
      <c r="AA53" s="105">
        <f t="shared" si="25"/>
        <v>5.5084745762711869</v>
      </c>
      <c r="AB53" s="105">
        <v>6.5</v>
      </c>
      <c r="AC53" s="105">
        <f t="shared" si="12"/>
        <v>1020.5</v>
      </c>
      <c r="AD53" s="105">
        <v>0</v>
      </c>
      <c r="AE53" s="105">
        <f t="shared" si="26"/>
        <v>4.2372881355932206</v>
      </c>
      <c r="AF53" s="105">
        <v>5</v>
      </c>
      <c r="AG53" s="105">
        <f t="shared" si="14"/>
        <v>0</v>
      </c>
      <c r="AH53" s="106">
        <v>0</v>
      </c>
      <c r="AI53" s="105">
        <f t="shared" si="15"/>
        <v>9.3220338983050848</v>
      </c>
      <c r="AJ53" s="105">
        <v>11</v>
      </c>
      <c r="AK53" s="105">
        <f t="shared" si="16"/>
        <v>0</v>
      </c>
      <c r="AL53" s="106">
        <v>4</v>
      </c>
      <c r="AM53" s="105">
        <f t="shared" si="17"/>
        <v>12.711864406779661</v>
      </c>
      <c r="AN53" s="105">
        <v>15</v>
      </c>
      <c r="AO53" s="105">
        <f t="shared" si="18"/>
        <v>60</v>
      </c>
      <c r="AP53" s="105">
        <f t="shared" si="19"/>
        <v>5517.1186440677966</v>
      </c>
      <c r="AQ53" s="105">
        <f t="shared" si="20"/>
        <v>6510.2</v>
      </c>
      <c r="AR53" s="106">
        <v>955</v>
      </c>
      <c r="AS53" s="105" t="s">
        <v>312</v>
      </c>
      <c r="AT53" s="107">
        <v>0</v>
      </c>
      <c r="AU53" s="107">
        <f t="shared" si="40"/>
        <v>5.0847457627118651</v>
      </c>
      <c r="AV53" s="107">
        <v>6</v>
      </c>
      <c r="AW53" s="107">
        <f t="shared" si="27"/>
        <v>4855.9322033898316</v>
      </c>
      <c r="AX53" s="107">
        <f t="shared" si="22"/>
        <v>5730</v>
      </c>
      <c r="AY53" s="108">
        <f t="shared" si="1"/>
        <v>10373.050847457627</v>
      </c>
      <c r="AZ53" s="109">
        <f t="shared" si="2"/>
        <v>12240.2</v>
      </c>
      <c r="BA53" s="9"/>
      <c r="BB53" s="9"/>
      <c r="BC53" s="9"/>
      <c r="BD53" s="9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2"/>
      <c r="CL53" s="42"/>
      <c r="CM53" s="42"/>
      <c r="CN53" s="42"/>
      <c r="CO53" s="42"/>
    </row>
    <row r="54" spans="1:93" s="4" customFormat="1" ht="274.5" outlineLevel="1" x14ac:dyDescent="0.25">
      <c r="A54" s="100">
        <f t="shared" si="41"/>
        <v>40</v>
      </c>
      <c r="B54" s="101" t="s">
        <v>286</v>
      </c>
      <c r="C54" s="102" t="s">
        <v>83</v>
      </c>
      <c r="D54" s="103" t="s">
        <v>19</v>
      </c>
      <c r="E54" s="104">
        <f t="shared" si="23"/>
        <v>1356.7</v>
      </c>
      <c r="F54" s="105">
        <v>0</v>
      </c>
      <c r="G54" s="105">
        <f t="shared" si="0"/>
        <v>16.949152542372882</v>
      </c>
      <c r="H54" s="105">
        <v>20</v>
      </c>
      <c r="I54" s="105">
        <f t="shared" si="3"/>
        <v>0</v>
      </c>
      <c r="J54" s="104">
        <f>95.8+79+200.8+93.5+92.4+11.9</f>
        <v>573.4</v>
      </c>
      <c r="K54" s="105">
        <f t="shared" si="4"/>
        <v>12.711864406779661</v>
      </c>
      <c r="L54" s="105">
        <v>15</v>
      </c>
      <c r="M54" s="105">
        <f t="shared" si="5"/>
        <v>8601</v>
      </c>
      <c r="N54" s="106">
        <f>10.7+472.5</f>
        <v>483.2</v>
      </c>
      <c r="O54" s="105">
        <f t="shared" si="6"/>
        <v>6.6101694915254239</v>
      </c>
      <c r="P54" s="105">
        <v>7.8</v>
      </c>
      <c r="Q54" s="105">
        <f t="shared" si="7"/>
        <v>3768.96</v>
      </c>
      <c r="R54" s="104">
        <v>0</v>
      </c>
      <c r="S54" s="105">
        <f t="shared" si="8"/>
        <v>13.220338983050848</v>
      </c>
      <c r="T54" s="105">
        <v>15.6</v>
      </c>
      <c r="U54" s="105">
        <f t="shared" si="9"/>
        <v>0</v>
      </c>
      <c r="V54" s="105">
        <v>14.5</v>
      </c>
      <c r="W54" s="105">
        <f t="shared" si="42"/>
        <v>5.9322033898305087</v>
      </c>
      <c r="X54" s="105">
        <v>7</v>
      </c>
      <c r="Y54" s="105">
        <f t="shared" si="10"/>
        <v>101.5</v>
      </c>
      <c r="Z54" s="104">
        <f>57+12.3+76.4+12.9+12+69.7+12.9</f>
        <v>253.20000000000002</v>
      </c>
      <c r="AA54" s="105">
        <f t="shared" si="25"/>
        <v>5.5084745762711869</v>
      </c>
      <c r="AB54" s="105">
        <v>6.5</v>
      </c>
      <c r="AC54" s="105">
        <f t="shared" si="12"/>
        <v>1645.8000000000002</v>
      </c>
      <c r="AD54" s="105">
        <v>0</v>
      </c>
      <c r="AE54" s="105">
        <f t="shared" si="26"/>
        <v>4.2372881355932206</v>
      </c>
      <c r="AF54" s="105">
        <v>5</v>
      </c>
      <c r="AG54" s="105">
        <f t="shared" si="14"/>
        <v>0</v>
      </c>
      <c r="AH54" s="106">
        <v>0</v>
      </c>
      <c r="AI54" s="105">
        <f t="shared" si="15"/>
        <v>9.3220338983050848</v>
      </c>
      <c r="AJ54" s="105">
        <v>11</v>
      </c>
      <c r="AK54" s="105">
        <f t="shared" si="16"/>
        <v>0</v>
      </c>
      <c r="AL54" s="106">
        <v>32.4</v>
      </c>
      <c r="AM54" s="105">
        <f t="shared" si="17"/>
        <v>12.711864406779661</v>
      </c>
      <c r="AN54" s="105">
        <v>15</v>
      </c>
      <c r="AO54" s="105">
        <f t="shared" si="18"/>
        <v>486</v>
      </c>
      <c r="AP54" s="105">
        <f t="shared" si="19"/>
        <v>12375.644067796609</v>
      </c>
      <c r="AQ54" s="105">
        <f t="shared" si="20"/>
        <v>14603.259999999998</v>
      </c>
      <c r="AR54" s="106">
        <v>740</v>
      </c>
      <c r="AS54" s="105" t="s">
        <v>312</v>
      </c>
      <c r="AT54" s="107">
        <v>0</v>
      </c>
      <c r="AU54" s="107">
        <f t="shared" si="40"/>
        <v>5.0847457627118651</v>
      </c>
      <c r="AV54" s="107">
        <v>6</v>
      </c>
      <c r="AW54" s="107">
        <f t="shared" si="27"/>
        <v>3762.71186440678</v>
      </c>
      <c r="AX54" s="107">
        <f t="shared" si="22"/>
        <v>4440</v>
      </c>
      <c r="AY54" s="108">
        <f t="shared" si="1"/>
        <v>16138.355932203389</v>
      </c>
      <c r="AZ54" s="109">
        <f t="shared" si="2"/>
        <v>19043.259999999998</v>
      </c>
      <c r="BA54" s="9"/>
      <c r="BB54" s="9"/>
      <c r="BC54" s="9"/>
      <c r="BD54" s="9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2"/>
      <c r="CL54" s="42"/>
      <c r="CM54" s="42"/>
      <c r="CN54" s="42"/>
      <c r="CO54" s="42"/>
    </row>
    <row r="55" spans="1:93" s="4" customFormat="1" ht="274.5" outlineLevel="1" x14ac:dyDescent="0.25">
      <c r="A55" s="100">
        <f t="shared" si="41"/>
        <v>41</v>
      </c>
      <c r="B55" s="101" t="s">
        <v>285</v>
      </c>
      <c r="C55" s="102" t="s">
        <v>85</v>
      </c>
      <c r="D55" s="103" t="s">
        <v>19</v>
      </c>
      <c r="E55" s="104">
        <f t="shared" si="23"/>
        <v>835.00000000000011</v>
      </c>
      <c r="F55" s="105">
        <v>0</v>
      </c>
      <c r="G55" s="105">
        <f t="shared" si="0"/>
        <v>16.949152542372882</v>
      </c>
      <c r="H55" s="105">
        <v>20</v>
      </c>
      <c r="I55" s="105">
        <f t="shared" si="3"/>
        <v>0</v>
      </c>
      <c r="J55" s="104">
        <f>126.7+61.6</f>
        <v>188.3</v>
      </c>
      <c r="K55" s="105">
        <f t="shared" si="4"/>
        <v>12.711864406779661</v>
      </c>
      <c r="L55" s="105">
        <v>15</v>
      </c>
      <c r="M55" s="105">
        <f t="shared" si="5"/>
        <v>2824.5</v>
      </c>
      <c r="N55" s="106">
        <f>171.8+330.8</f>
        <v>502.6</v>
      </c>
      <c r="O55" s="105">
        <f t="shared" si="6"/>
        <v>6.6101694915254239</v>
      </c>
      <c r="P55" s="105">
        <v>7.8</v>
      </c>
      <c r="Q55" s="105">
        <f t="shared" si="7"/>
        <v>3920.28</v>
      </c>
      <c r="R55" s="104">
        <v>21.2</v>
      </c>
      <c r="S55" s="105">
        <f t="shared" si="8"/>
        <v>13.220338983050848</v>
      </c>
      <c r="T55" s="105">
        <v>15.6</v>
      </c>
      <c r="U55" s="105">
        <f t="shared" si="9"/>
        <v>330.71999999999997</v>
      </c>
      <c r="V55" s="105">
        <v>0</v>
      </c>
      <c r="W55" s="105">
        <f t="shared" si="42"/>
        <v>5.9322033898305087</v>
      </c>
      <c r="X55" s="105">
        <v>7</v>
      </c>
      <c r="Y55" s="105">
        <f t="shared" si="10"/>
        <v>0</v>
      </c>
      <c r="Z55" s="104">
        <f>61.1+31.7+18</f>
        <v>110.8</v>
      </c>
      <c r="AA55" s="105">
        <f t="shared" si="25"/>
        <v>5.5084745762711869</v>
      </c>
      <c r="AB55" s="105">
        <v>6.5</v>
      </c>
      <c r="AC55" s="105">
        <f t="shared" si="12"/>
        <v>720.19999999999993</v>
      </c>
      <c r="AD55" s="105">
        <v>0</v>
      </c>
      <c r="AE55" s="105">
        <f t="shared" si="26"/>
        <v>4.2372881355932206</v>
      </c>
      <c r="AF55" s="105">
        <v>5</v>
      </c>
      <c r="AG55" s="105">
        <f t="shared" si="14"/>
        <v>0</v>
      </c>
      <c r="AH55" s="106">
        <v>0</v>
      </c>
      <c r="AI55" s="105">
        <f t="shared" si="15"/>
        <v>9.3220338983050848</v>
      </c>
      <c r="AJ55" s="105">
        <v>11</v>
      </c>
      <c r="AK55" s="105">
        <f t="shared" si="16"/>
        <v>0</v>
      </c>
      <c r="AL55" s="106">
        <f>12.1</f>
        <v>12.1</v>
      </c>
      <c r="AM55" s="105">
        <f t="shared" si="17"/>
        <v>12.711864406779661</v>
      </c>
      <c r="AN55" s="105">
        <v>15</v>
      </c>
      <c r="AO55" s="105">
        <f t="shared" si="18"/>
        <v>181.5</v>
      </c>
      <c r="AP55" s="105">
        <f t="shared" si="19"/>
        <v>6760.3389830508486</v>
      </c>
      <c r="AQ55" s="105">
        <f t="shared" si="20"/>
        <v>7977.2000000000007</v>
      </c>
      <c r="AR55" s="106">
        <v>537</v>
      </c>
      <c r="AS55" s="105" t="s">
        <v>312</v>
      </c>
      <c r="AT55" s="107">
        <v>0</v>
      </c>
      <c r="AU55" s="107">
        <f t="shared" si="40"/>
        <v>5.0847457627118651</v>
      </c>
      <c r="AV55" s="107">
        <v>6</v>
      </c>
      <c r="AW55" s="107">
        <f t="shared" si="27"/>
        <v>2730.5084745762715</v>
      </c>
      <c r="AX55" s="107">
        <f t="shared" si="22"/>
        <v>3222</v>
      </c>
      <c r="AY55" s="108">
        <f t="shared" si="1"/>
        <v>9490.8474576271201</v>
      </c>
      <c r="AZ55" s="109">
        <f t="shared" si="2"/>
        <v>11199.2</v>
      </c>
      <c r="BA55" s="9"/>
      <c r="BB55" s="9"/>
      <c r="BC55" s="9"/>
      <c r="BD55" s="9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2"/>
      <c r="CL55" s="42"/>
      <c r="CM55" s="42"/>
      <c r="CN55" s="42"/>
      <c r="CO55" s="42"/>
    </row>
    <row r="56" spans="1:93" s="4" customFormat="1" ht="274.5" outlineLevel="1" x14ac:dyDescent="0.25">
      <c r="A56" s="100">
        <f>A55+1</f>
        <v>42</v>
      </c>
      <c r="B56" s="101" t="s">
        <v>283</v>
      </c>
      <c r="C56" s="102" t="s">
        <v>86</v>
      </c>
      <c r="D56" s="103" t="s">
        <v>19</v>
      </c>
      <c r="E56" s="104">
        <f t="shared" si="23"/>
        <v>507.3</v>
      </c>
      <c r="F56" s="105">
        <v>0</v>
      </c>
      <c r="G56" s="105">
        <f t="shared" si="0"/>
        <v>16.949152542372882</v>
      </c>
      <c r="H56" s="105">
        <v>20</v>
      </c>
      <c r="I56" s="105">
        <f t="shared" si="3"/>
        <v>0</v>
      </c>
      <c r="J56" s="104">
        <f>74.9+14+44.6+200.1</f>
        <v>333.6</v>
      </c>
      <c r="K56" s="105">
        <f t="shared" si="4"/>
        <v>12.711864406779661</v>
      </c>
      <c r="L56" s="105">
        <v>15</v>
      </c>
      <c r="M56" s="105">
        <f t="shared" si="5"/>
        <v>5004</v>
      </c>
      <c r="N56" s="106">
        <v>0</v>
      </c>
      <c r="O56" s="105">
        <f t="shared" si="6"/>
        <v>6.6101694915254239</v>
      </c>
      <c r="P56" s="105">
        <v>7.8</v>
      </c>
      <c r="Q56" s="105">
        <f t="shared" si="7"/>
        <v>0</v>
      </c>
      <c r="R56" s="104">
        <v>0</v>
      </c>
      <c r="S56" s="105">
        <f t="shared" si="8"/>
        <v>13.220338983050848</v>
      </c>
      <c r="T56" s="105">
        <v>15.6</v>
      </c>
      <c r="U56" s="105">
        <f t="shared" si="9"/>
        <v>0</v>
      </c>
      <c r="V56" s="105">
        <v>0</v>
      </c>
      <c r="W56" s="105">
        <f t="shared" ref="W56:W57" si="43">X56/1.18</f>
        <v>5.9322033898305087</v>
      </c>
      <c r="X56" s="105">
        <v>7</v>
      </c>
      <c r="Y56" s="105">
        <f t="shared" si="10"/>
        <v>0</v>
      </c>
      <c r="Z56" s="104">
        <v>173.7</v>
      </c>
      <c r="AA56" s="105">
        <f t="shared" si="25"/>
        <v>5.5084745762711869</v>
      </c>
      <c r="AB56" s="105">
        <v>6.5</v>
      </c>
      <c r="AC56" s="105">
        <f t="shared" si="12"/>
        <v>1129.05</v>
      </c>
      <c r="AD56" s="105">
        <v>0</v>
      </c>
      <c r="AE56" s="105">
        <f t="shared" si="26"/>
        <v>4.2372881355932206</v>
      </c>
      <c r="AF56" s="105">
        <v>5</v>
      </c>
      <c r="AG56" s="105">
        <f t="shared" si="14"/>
        <v>0</v>
      </c>
      <c r="AH56" s="106">
        <v>0</v>
      </c>
      <c r="AI56" s="105">
        <f t="shared" si="15"/>
        <v>9.3220338983050848</v>
      </c>
      <c r="AJ56" s="105">
        <v>11</v>
      </c>
      <c r="AK56" s="105">
        <f t="shared" si="16"/>
        <v>0</v>
      </c>
      <c r="AL56" s="106">
        <v>0</v>
      </c>
      <c r="AM56" s="105">
        <f t="shared" si="17"/>
        <v>12.711864406779661</v>
      </c>
      <c r="AN56" s="105">
        <v>15</v>
      </c>
      <c r="AO56" s="105">
        <f t="shared" si="18"/>
        <v>0</v>
      </c>
      <c r="AP56" s="105">
        <f t="shared" si="19"/>
        <v>5197.5</v>
      </c>
      <c r="AQ56" s="105">
        <f t="shared" si="20"/>
        <v>6133.05</v>
      </c>
      <c r="AR56" s="106">
        <v>700</v>
      </c>
      <c r="AS56" s="105" t="s">
        <v>312</v>
      </c>
      <c r="AT56" s="107">
        <v>0</v>
      </c>
      <c r="AU56" s="107">
        <f t="shared" si="40"/>
        <v>5.0847457627118651</v>
      </c>
      <c r="AV56" s="107">
        <v>6</v>
      </c>
      <c r="AW56" s="107">
        <f t="shared" si="27"/>
        <v>3559.3220338983056</v>
      </c>
      <c r="AX56" s="107">
        <f t="shared" si="22"/>
        <v>4200</v>
      </c>
      <c r="AY56" s="108">
        <f t="shared" si="1"/>
        <v>8756.8220338983047</v>
      </c>
      <c r="AZ56" s="109">
        <f t="shared" si="2"/>
        <v>10333.049999999999</v>
      </c>
      <c r="BA56" s="9"/>
      <c r="BB56" s="9"/>
      <c r="BC56" s="9"/>
      <c r="BD56" s="9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2"/>
      <c r="CL56" s="42"/>
      <c r="CM56" s="42"/>
      <c r="CN56" s="42"/>
      <c r="CO56" s="42"/>
    </row>
    <row r="57" spans="1:93" s="4" customFormat="1" ht="274.5" outlineLevel="1" x14ac:dyDescent="0.25">
      <c r="A57" s="100">
        <f t="shared" si="41"/>
        <v>43</v>
      </c>
      <c r="B57" s="101" t="s">
        <v>284</v>
      </c>
      <c r="C57" s="102" t="s">
        <v>87</v>
      </c>
      <c r="D57" s="103" t="s">
        <v>19</v>
      </c>
      <c r="E57" s="104">
        <f t="shared" si="23"/>
        <v>570.29999999999995</v>
      </c>
      <c r="F57" s="105">
        <v>0</v>
      </c>
      <c r="G57" s="105">
        <f t="shared" si="0"/>
        <v>16.949152542372882</v>
      </c>
      <c r="H57" s="105">
        <v>20</v>
      </c>
      <c r="I57" s="105">
        <f t="shared" si="3"/>
        <v>0</v>
      </c>
      <c r="J57" s="104">
        <v>188.7</v>
      </c>
      <c r="K57" s="105">
        <f t="shared" si="4"/>
        <v>12.711864406779661</v>
      </c>
      <c r="L57" s="105">
        <v>15</v>
      </c>
      <c r="M57" s="105">
        <f t="shared" si="5"/>
        <v>2830.5</v>
      </c>
      <c r="N57" s="106">
        <v>268.3</v>
      </c>
      <c r="O57" s="105">
        <f t="shared" si="6"/>
        <v>6.6101694915254239</v>
      </c>
      <c r="P57" s="105">
        <v>7.8</v>
      </c>
      <c r="Q57" s="105">
        <f t="shared" si="7"/>
        <v>2092.7400000000002</v>
      </c>
      <c r="R57" s="104">
        <f>21.2</f>
        <v>21.2</v>
      </c>
      <c r="S57" s="105">
        <f t="shared" si="8"/>
        <v>13.220338983050848</v>
      </c>
      <c r="T57" s="105">
        <v>15.6</v>
      </c>
      <c r="U57" s="105">
        <f t="shared" si="9"/>
        <v>330.71999999999997</v>
      </c>
      <c r="V57" s="105">
        <v>0</v>
      </c>
      <c r="W57" s="105">
        <f t="shared" si="43"/>
        <v>5.9322033898305087</v>
      </c>
      <c r="X57" s="105">
        <v>7</v>
      </c>
      <c r="Y57" s="105">
        <f t="shared" si="10"/>
        <v>0</v>
      </c>
      <c r="Z57" s="104">
        <v>92.1</v>
      </c>
      <c r="AA57" s="105">
        <f t="shared" si="25"/>
        <v>5.5084745762711869</v>
      </c>
      <c r="AB57" s="105">
        <v>6.5</v>
      </c>
      <c r="AC57" s="105">
        <f t="shared" si="12"/>
        <v>598.65</v>
      </c>
      <c r="AD57" s="105">
        <v>0</v>
      </c>
      <c r="AE57" s="105">
        <f t="shared" si="26"/>
        <v>4.2372881355932206</v>
      </c>
      <c r="AF57" s="105">
        <v>5</v>
      </c>
      <c r="AG57" s="105">
        <f t="shared" si="14"/>
        <v>0</v>
      </c>
      <c r="AH57" s="106">
        <v>0</v>
      </c>
      <c r="AI57" s="105">
        <f t="shared" si="15"/>
        <v>9.3220338983050848</v>
      </c>
      <c r="AJ57" s="105">
        <v>11</v>
      </c>
      <c r="AK57" s="105">
        <f t="shared" si="16"/>
        <v>0</v>
      </c>
      <c r="AL57" s="106">
        <v>0</v>
      </c>
      <c r="AM57" s="105">
        <f t="shared" si="17"/>
        <v>12.711864406779661</v>
      </c>
      <c r="AN57" s="105">
        <v>15</v>
      </c>
      <c r="AO57" s="105">
        <f t="shared" si="18"/>
        <v>0</v>
      </c>
      <c r="AP57" s="105">
        <f t="shared" si="19"/>
        <v>4959.8389830508477</v>
      </c>
      <c r="AQ57" s="105">
        <f t="shared" si="20"/>
        <v>5852.61</v>
      </c>
      <c r="AR57" s="106">
        <v>240</v>
      </c>
      <c r="AS57" s="105" t="s">
        <v>312</v>
      </c>
      <c r="AT57" s="107">
        <v>0</v>
      </c>
      <c r="AU57" s="107">
        <f t="shared" si="40"/>
        <v>5.0847457627118651</v>
      </c>
      <c r="AV57" s="107">
        <v>6</v>
      </c>
      <c r="AW57" s="107">
        <f t="shared" si="27"/>
        <v>1220.3389830508477</v>
      </c>
      <c r="AX57" s="107">
        <f t="shared" si="22"/>
        <v>1440</v>
      </c>
      <c r="AY57" s="108">
        <f t="shared" si="1"/>
        <v>6180.1779661016953</v>
      </c>
      <c r="AZ57" s="109">
        <f t="shared" si="2"/>
        <v>7292.61</v>
      </c>
      <c r="BA57" s="9"/>
      <c r="BB57" s="9"/>
      <c r="BC57" s="9"/>
      <c r="BD57" s="9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2"/>
      <c r="CL57" s="42"/>
      <c r="CM57" s="42"/>
      <c r="CN57" s="42"/>
      <c r="CO57" s="42"/>
    </row>
    <row r="58" spans="1:93" s="4" customFormat="1" ht="228.75" outlineLevel="1" x14ac:dyDescent="0.25">
      <c r="A58" s="100">
        <f t="shared" si="41"/>
        <v>44</v>
      </c>
      <c r="B58" s="101" t="s">
        <v>289</v>
      </c>
      <c r="C58" s="102" t="s">
        <v>91</v>
      </c>
      <c r="D58" s="103" t="s">
        <v>19</v>
      </c>
      <c r="E58" s="104">
        <f t="shared" si="23"/>
        <v>1436.6</v>
      </c>
      <c r="F58" s="105">
        <v>0</v>
      </c>
      <c r="G58" s="105">
        <f>H58/1.18</f>
        <v>16.949152542372882</v>
      </c>
      <c r="H58" s="105">
        <v>20</v>
      </c>
      <c r="I58" s="105">
        <f>H58*F58</f>
        <v>0</v>
      </c>
      <c r="J58" s="104">
        <v>287</v>
      </c>
      <c r="K58" s="105">
        <f>L58/1.18</f>
        <v>12.711864406779661</v>
      </c>
      <c r="L58" s="105">
        <v>15</v>
      </c>
      <c r="M58" s="105">
        <f>L58*J58</f>
        <v>4305</v>
      </c>
      <c r="N58" s="106">
        <v>661.9</v>
      </c>
      <c r="O58" s="105">
        <f>P58/1.18</f>
        <v>6.6101694915254239</v>
      </c>
      <c r="P58" s="105">
        <v>7.8</v>
      </c>
      <c r="Q58" s="105">
        <f>P58*N58</f>
        <v>5162.82</v>
      </c>
      <c r="R58" s="104">
        <v>0</v>
      </c>
      <c r="S58" s="105">
        <f>T58/1.18</f>
        <v>13.220338983050848</v>
      </c>
      <c r="T58" s="105">
        <v>15.6</v>
      </c>
      <c r="U58" s="105">
        <f>T58*R58</f>
        <v>0</v>
      </c>
      <c r="V58" s="105">
        <v>49.3</v>
      </c>
      <c r="W58" s="105">
        <f>X58/1.18</f>
        <v>5.9322033898305087</v>
      </c>
      <c r="X58" s="105">
        <v>7</v>
      </c>
      <c r="Y58" s="105">
        <f>X58*V58</f>
        <v>345.09999999999997</v>
      </c>
      <c r="Z58" s="104">
        <v>419.3</v>
      </c>
      <c r="AA58" s="105">
        <f>AB58/1.18</f>
        <v>5.5084745762711869</v>
      </c>
      <c r="AB58" s="105">
        <v>6.5</v>
      </c>
      <c r="AC58" s="105">
        <f>AB58*Z58</f>
        <v>2725.4500000000003</v>
      </c>
      <c r="AD58" s="105">
        <v>0</v>
      </c>
      <c r="AE58" s="105">
        <f>AF58/1.18</f>
        <v>4.2372881355932206</v>
      </c>
      <c r="AF58" s="105">
        <v>5</v>
      </c>
      <c r="AG58" s="105">
        <f>AF58*AD58</f>
        <v>0</v>
      </c>
      <c r="AH58" s="106">
        <v>13.5</v>
      </c>
      <c r="AI58" s="105">
        <f>AJ58/1.18</f>
        <v>9.3220338983050848</v>
      </c>
      <c r="AJ58" s="105">
        <v>11</v>
      </c>
      <c r="AK58" s="105">
        <f>AJ58*AH58</f>
        <v>148.5</v>
      </c>
      <c r="AL58" s="106">
        <v>5.6</v>
      </c>
      <c r="AM58" s="105">
        <f>AN58/1.18</f>
        <v>12.711864406779661</v>
      </c>
      <c r="AN58" s="105">
        <v>15</v>
      </c>
      <c r="AO58" s="105">
        <f>AN58*AL58</f>
        <v>84</v>
      </c>
      <c r="AP58" s="105">
        <f t="shared" si="19"/>
        <v>10822.771186440679</v>
      </c>
      <c r="AQ58" s="105">
        <f t="shared" si="20"/>
        <v>12770.87</v>
      </c>
      <c r="AR58" s="106">
        <v>894</v>
      </c>
      <c r="AS58" s="105" t="s">
        <v>312</v>
      </c>
      <c r="AT58" s="107">
        <v>0</v>
      </c>
      <c r="AU58" s="107">
        <f t="shared" si="40"/>
        <v>5.0847457627118651</v>
      </c>
      <c r="AV58" s="107">
        <v>6</v>
      </c>
      <c r="AW58" s="107">
        <f>AU58*AR58</f>
        <v>4545.7627118644077</v>
      </c>
      <c r="AX58" s="107">
        <f>AV58*AR58</f>
        <v>5364</v>
      </c>
      <c r="AY58" s="108">
        <f t="shared" si="1"/>
        <v>15368.533898305086</v>
      </c>
      <c r="AZ58" s="109">
        <f t="shared" si="2"/>
        <v>18134.870000000003</v>
      </c>
      <c r="BA58" s="9"/>
      <c r="BB58" s="9"/>
      <c r="BC58" s="9"/>
      <c r="BD58" s="9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2"/>
      <c r="CL58" s="42"/>
      <c r="CM58" s="42"/>
      <c r="CN58" s="42"/>
      <c r="CO58" s="42"/>
    </row>
    <row r="59" spans="1:93" s="4" customFormat="1" ht="366" outlineLevel="1" x14ac:dyDescent="0.25">
      <c r="A59" s="100">
        <f t="shared" si="41"/>
        <v>45</v>
      </c>
      <c r="B59" s="101" t="s">
        <v>21</v>
      </c>
      <c r="C59" s="102" t="s">
        <v>90</v>
      </c>
      <c r="D59" s="103" t="s">
        <v>19</v>
      </c>
      <c r="E59" s="104">
        <f t="shared" si="23"/>
        <v>690.6</v>
      </c>
      <c r="F59" s="105">
        <v>0</v>
      </c>
      <c r="G59" s="105">
        <f>H59/1.18</f>
        <v>16.949152542372882</v>
      </c>
      <c r="H59" s="105">
        <v>20</v>
      </c>
      <c r="I59" s="105">
        <f>H59*F59</f>
        <v>0</v>
      </c>
      <c r="J59" s="104">
        <f>152.3+61.6</f>
        <v>213.9</v>
      </c>
      <c r="K59" s="105">
        <f>L59/1.18</f>
        <v>12.711864406779661</v>
      </c>
      <c r="L59" s="105">
        <v>15</v>
      </c>
      <c r="M59" s="105">
        <f>L59*J59</f>
        <v>3208.5</v>
      </c>
      <c r="N59" s="106">
        <f>53.4+263.7+35.3</f>
        <v>352.4</v>
      </c>
      <c r="O59" s="105">
        <f>P59/1.18</f>
        <v>6.6101694915254239</v>
      </c>
      <c r="P59" s="105">
        <v>7.8</v>
      </c>
      <c r="Q59" s="105">
        <f>P59*N59</f>
        <v>2748.72</v>
      </c>
      <c r="R59" s="104">
        <v>21.7</v>
      </c>
      <c r="S59" s="105">
        <f>T59/1.18</f>
        <v>13.220338983050848</v>
      </c>
      <c r="T59" s="105">
        <v>15.6</v>
      </c>
      <c r="U59" s="105">
        <f>T59*R59</f>
        <v>338.52</v>
      </c>
      <c r="V59" s="105">
        <v>0</v>
      </c>
      <c r="W59" s="105">
        <f>X59/1.18</f>
        <v>5.9322033898305087</v>
      </c>
      <c r="X59" s="105">
        <v>7</v>
      </c>
      <c r="Y59" s="105">
        <f>X59*V59</f>
        <v>0</v>
      </c>
      <c r="Z59" s="104">
        <v>102.6</v>
      </c>
      <c r="AA59" s="105">
        <f>AB59/1.18</f>
        <v>5.5084745762711869</v>
      </c>
      <c r="AB59" s="105">
        <v>6.5</v>
      </c>
      <c r="AC59" s="105">
        <f>AB59*Z59</f>
        <v>666.9</v>
      </c>
      <c r="AD59" s="105">
        <v>0</v>
      </c>
      <c r="AE59" s="105">
        <f>AF59/1.18</f>
        <v>4.2372881355932206</v>
      </c>
      <c r="AF59" s="105">
        <v>5</v>
      </c>
      <c r="AG59" s="105">
        <f>AF59*AD59</f>
        <v>0</v>
      </c>
      <c r="AH59" s="106">
        <v>0</v>
      </c>
      <c r="AI59" s="105">
        <f>AJ59/1.18</f>
        <v>9.3220338983050848</v>
      </c>
      <c r="AJ59" s="105">
        <v>11</v>
      </c>
      <c r="AK59" s="105">
        <f>AJ59*AH59</f>
        <v>0</v>
      </c>
      <c r="AL59" s="106">
        <v>0</v>
      </c>
      <c r="AM59" s="105">
        <f>AN59/1.18</f>
        <v>12.711864406779661</v>
      </c>
      <c r="AN59" s="105">
        <v>15</v>
      </c>
      <c r="AO59" s="105">
        <f>AN59*AL59</f>
        <v>0</v>
      </c>
      <c r="AP59" s="105">
        <f t="shared" si="19"/>
        <v>5900.5423728813557</v>
      </c>
      <c r="AQ59" s="105">
        <f t="shared" si="20"/>
        <v>6962.6399999999994</v>
      </c>
      <c r="AR59" s="106">
        <v>350</v>
      </c>
      <c r="AS59" s="105" t="s">
        <v>312</v>
      </c>
      <c r="AT59" s="107">
        <v>0</v>
      </c>
      <c r="AU59" s="107">
        <f t="shared" si="40"/>
        <v>5.0847457627118651</v>
      </c>
      <c r="AV59" s="107">
        <v>6</v>
      </c>
      <c r="AW59" s="107">
        <f>AU59*AR59</f>
        <v>1779.6610169491528</v>
      </c>
      <c r="AX59" s="107">
        <f>AV59*AR59</f>
        <v>2100</v>
      </c>
      <c r="AY59" s="108">
        <f t="shared" si="1"/>
        <v>7680.203389830509</v>
      </c>
      <c r="AZ59" s="109">
        <f t="shared" si="2"/>
        <v>9062.64</v>
      </c>
      <c r="BA59" s="9"/>
      <c r="BB59" s="9"/>
      <c r="BC59" s="9"/>
      <c r="BD59" s="9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2"/>
      <c r="CL59" s="42"/>
      <c r="CM59" s="42"/>
      <c r="CN59" s="42"/>
      <c r="CO59" s="42"/>
    </row>
    <row r="60" spans="1:93" s="4" customFormat="1" ht="45.75" outlineLevel="1" x14ac:dyDescent="0.25">
      <c r="A60" s="151" t="s">
        <v>231</v>
      </c>
      <c r="B60" s="152"/>
      <c r="C60" s="152"/>
      <c r="D60" s="110"/>
      <c r="E60" s="104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1"/>
      <c r="AQ60" s="111"/>
      <c r="AR60" s="110"/>
      <c r="AS60" s="105"/>
      <c r="AT60" s="110"/>
      <c r="AU60" s="110"/>
      <c r="AV60" s="110"/>
      <c r="AW60" s="110"/>
      <c r="AX60" s="110"/>
      <c r="AY60" s="111"/>
      <c r="AZ60" s="112"/>
      <c r="BA60" s="9"/>
      <c r="BB60" s="9"/>
      <c r="BC60" s="9"/>
      <c r="BD60" s="9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2"/>
      <c r="CL60" s="42"/>
      <c r="CM60" s="42"/>
      <c r="CN60" s="42"/>
      <c r="CO60" s="42"/>
    </row>
    <row r="61" spans="1:93" s="42" customFormat="1" ht="366" outlineLevel="1" x14ac:dyDescent="0.25">
      <c r="A61" s="100">
        <f>A59+1</f>
        <v>46</v>
      </c>
      <c r="B61" s="101" t="s">
        <v>21</v>
      </c>
      <c r="C61" s="102" t="s">
        <v>226</v>
      </c>
      <c r="D61" s="103" t="s">
        <v>19</v>
      </c>
      <c r="E61" s="104">
        <f t="shared" si="23"/>
        <v>889.19999999999993</v>
      </c>
      <c r="F61" s="105">
        <v>0</v>
      </c>
      <c r="G61" s="105">
        <f>H61/1.18</f>
        <v>16.949152542372882</v>
      </c>
      <c r="H61" s="105">
        <v>20</v>
      </c>
      <c r="I61" s="105">
        <f>H61*F61</f>
        <v>0</v>
      </c>
      <c r="J61" s="104">
        <f>153+167.7</f>
        <v>320.7</v>
      </c>
      <c r="K61" s="105">
        <f>L61/1.18</f>
        <v>12.711864406779661</v>
      </c>
      <c r="L61" s="105">
        <v>15</v>
      </c>
      <c r="M61" s="105">
        <f>L61*J61</f>
        <v>4810.5</v>
      </c>
      <c r="N61" s="106">
        <f>153.1+40.8+30.9+105.8</f>
        <v>330.59999999999997</v>
      </c>
      <c r="O61" s="105">
        <f>P61/1.18</f>
        <v>6.6101694915254239</v>
      </c>
      <c r="P61" s="105">
        <v>7.8</v>
      </c>
      <c r="Q61" s="105">
        <f>P61*N61</f>
        <v>2578.6799999999998</v>
      </c>
      <c r="R61" s="104">
        <v>0</v>
      </c>
      <c r="S61" s="105">
        <f>T61/1.18</f>
        <v>13.220338983050848</v>
      </c>
      <c r="T61" s="105">
        <v>15.6</v>
      </c>
      <c r="U61" s="105">
        <f>T61*R61</f>
        <v>0</v>
      </c>
      <c r="V61" s="105">
        <v>8.9</v>
      </c>
      <c r="W61" s="105">
        <v>4.2</v>
      </c>
      <c r="X61" s="105">
        <v>7</v>
      </c>
      <c r="Y61" s="105">
        <f>X61*V61</f>
        <v>62.300000000000004</v>
      </c>
      <c r="Z61" s="104">
        <f>42.6+24.3+29.5+24.3+14+59.7+32.4</f>
        <v>226.79999999999998</v>
      </c>
      <c r="AA61" s="105">
        <f>AB61/1.18</f>
        <v>5.5084745762711869</v>
      </c>
      <c r="AB61" s="105">
        <v>6.5</v>
      </c>
      <c r="AC61" s="105">
        <f>AB61*Z61</f>
        <v>1474.1999999999998</v>
      </c>
      <c r="AD61" s="105">
        <v>0</v>
      </c>
      <c r="AE61" s="105">
        <f>AF61/1.18</f>
        <v>4.2372881355932206</v>
      </c>
      <c r="AF61" s="105">
        <v>5</v>
      </c>
      <c r="AG61" s="105">
        <f>AF61*AD61</f>
        <v>0</v>
      </c>
      <c r="AH61" s="106">
        <v>0</v>
      </c>
      <c r="AI61" s="105">
        <f>AJ61/1.18</f>
        <v>9.3220338983050848</v>
      </c>
      <c r="AJ61" s="105">
        <v>11</v>
      </c>
      <c r="AK61" s="105">
        <f>AJ61*AH61</f>
        <v>0</v>
      </c>
      <c r="AL61" s="106">
        <v>2.2000000000000002</v>
      </c>
      <c r="AM61" s="105">
        <f>AN61/1.18</f>
        <v>12.711864406779661</v>
      </c>
      <c r="AN61" s="105">
        <v>15</v>
      </c>
      <c r="AO61" s="105">
        <f>AN61*AL61</f>
        <v>33</v>
      </c>
      <c r="AP61" s="105">
        <f t="shared" si="19"/>
        <v>7592.1016949152545</v>
      </c>
      <c r="AQ61" s="105">
        <f t="shared" si="20"/>
        <v>8958.68</v>
      </c>
      <c r="AR61" s="106">
        <v>393</v>
      </c>
      <c r="AS61" s="105" t="s">
        <v>312</v>
      </c>
      <c r="AT61" s="107">
        <v>0</v>
      </c>
      <c r="AU61" s="107">
        <f>AV61/1.18</f>
        <v>5.0847457627118651</v>
      </c>
      <c r="AV61" s="107">
        <v>6</v>
      </c>
      <c r="AW61" s="107">
        <f>AU61*AR61</f>
        <v>1998.305084745763</v>
      </c>
      <c r="AX61" s="107">
        <f>AV61*AR61</f>
        <v>2358</v>
      </c>
      <c r="AY61" s="108">
        <f t="shared" si="1"/>
        <v>9590.4067796610179</v>
      </c>
      <c r="AZ61" s="109">
        <f t="shared" si="2"/>
        <v>11316.68</v>
      </c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</row>
    <row r="62" spans="1:93" s="42" customFormat="1" ht="183" outlineLevel="1" x14ac:dyDescent="0.25">
      <c r="A62" s="100">
        <f>A61+1</f>
        <v>47</v>
      </c>
      <c r="B62" s="101" t="s">
        <v>21</v>
      </c>
      <c r="C62" s="102" t="s">
        <v>84</v>
      </c>
      <c r="D62" s="103" t="s">
        <v>19</v>
      </c>
      <c r="E62" s="104">
        <f t="shared" si="23"/>
        <v>1140.3</v>
      </c>
      <c r="F62" s="105">
        <v>0</v>
      </c>
      <c r="G62" s="105">
        <f>H62/1.18</f>
        <v>16.949152542372882</v>
      </c>
      <c r="H62" s="105">
        <v>20</v>
      </c>
      <c r="I62" s="105">
        <f>H62*F62</f>
        <v>0</v>
      </c>
      <c r="J62" s="104">
        <f>63.4+67.6</f>
        <v>131</v>
      </c>
      <c r="K62" s="105">
        <f>L62/1.18</f>
        <v>12.711864406779661</v>
      </c>
      <c r="L62" s="105">
        <v>15</v>
      </c>
      <c r="M62" s="105">
        <f>L62*J62</f>
        <v>1965</v>
      </c>
      <c r="N62" s="106">
        <f>20.6+86.3+34.3+160.8+32.6+65.5+35+196.4+136.1</f>
        <v>767.6</v>
      </c>
      <c r="O62" s="105">
        <f>P62/1.18</f>
        <v>6.6101694915254239</v>
      </c>
      <c r="P62" s="105">
        <v>7.8</v>
      </c>
      <c r="Q62" s="105">
        <f>P62*N62</f>
        <v>5987.28</v>
      </c>
      <c r="R62" s="104">
        <f>46.6+102.7</f>
        <v>149.30000000000001</v>
      </c>
      <c r="S62" s="105">
        <f>T62/1.18</f>
        <v>13.220338983050848</v>
      </c>
      <c r="T62" s="105">
        <v>15.6</v>
      </c>
      <c r="U62" s="105">
        <f>T62*R62</f>
        <v>2329.08</v>
      </c>
      <c r="V62" s="105">
        <v>0</v>
      </c>
      <c r="W62" s="105">
        <f t="shared" ref="W62:W63" si="44">X62/1.18</f>
        <v>5.9322033898305087</v>
      </c>
      <c r="X62" s="105">
        <v>7</v>
      </c>
      <c r="Y62" s="105">
        <f>X62*V62</f>
        <v>0</v>
      </c>
      <c r="Z62" s="104">
        <f>8.1</f>
        <v>8.1</v>
      </c>
      <c r="AA62" s="105">
        <f>AB62/1.18</f>
        <v>5.5084745762711869</v>
      </c>
      <c r="AB62" s="105">
        <v>6.5</v>
      </c>
      <c r="AC62" s="105">
        <f>AB62*Z62</f>
        <v>52.65</v>
      </c>
      <c r="AD62" s="105">
        <v>0</v>
      </c>
      <c r="AE62" s="105">
        <f>AF62/1.18</f>
        <v>4.2372881355932206</v>
      </c>
      <c r="AF62" s="105">
        <v>5</v>
      </c>
      <c r="AG62" s="105">
        <f>AF62*AD62</f>
        <v>0</v>
      </c>
      <c r="AH62" s="106">
        <v>51</v>
      </c>
      <c r="AI62" s="105">
        <f>AJ62/1.18</f>
        <v>9.3220338983050848</v>
      </c>
      <c r="AJ62" s="105">
        <v>11</v>
      </c>
      <c r="AK62" s="105">
        <f>AJ62*AH62</f>
        <v>561</v>
      </c>
      <c r="AL62" s="106">
        <f>9+10.8+7.6+5.9</f>
        <v>33.299999999999997</v>
      </c>
      <c r="AM62" s="105">
        <f>AN62/1.18</f>
        <v>12.711864406779661</v>
      </c>
      <c r="AN62" s="105">
        <v>15</v>
      </c>
      <c r="AO62" s="105">
        <f>AN62*AL62</f>
        <v>499.49999999999994</v>
      </c>
      <c r="AP62" s="105">
        <f t="shared" si="19"/>
        <v>9656.3644067796613</v>
      </c>
      <c r="AQ62" s="105">
        <f t="shared" si="20"/>
        <v>11394.51</v>
      </c>
      <c r="AR62" s="106">
        <f>360+400</f>
        <v>760</v>
      </c>
      <c r="AS62" s="105" t="s">
        <v>312</v>
      </c>
      <c r="AT62" s="107">
        <v>0</v>
      </c>
      <c r="AU62" s="107">
        <f t="shared" ref="AU62:AU68" si="45">AV62/1.18</f>
        <v>5.0847457627118651</v>
      </c>
      <c r="AV62" s="107">
        <v>6</v>
      </c>
      <c r="AW62" s="107">
        <f>AU62*AR62</f>
        <v>3864.4067796610175</v>
      </c>
      <c r="AX62" s="107">
        <f>AV62*AR62</f>
        <v>4560</v>
      </c>
      <c r="AY62" s="108">
        <f t="shared" si="1"/>
        <v>13520.771186440679</v>
      </c>
      <c r="AZ62" s="109">
        <f t="shared" si="2"/>
        <v>15954.51</v>
      </c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</row>
    <row r="63" spans="1:93" s="4" customFormat="1" ht="183" outlineLevel="1" x14ac:dyDescent="0.25">
      <c r="A63" s="100">
        <f t="shared" ref="A63" si="46">A61+1</f>
        <v>47</v>
      </c>
      <c r="B63" s="101" t="s">
        <v>21</v>
      </c>
      <c r="C63" s="102" t="s">
        <v>288</v>
      </c>
      <c r="D63" s="103" t="s">
        <v>19</v>
      </c>
      <c r="E63" s="104">
        <f t="shared" si="23"/>
        <v>782.17000000000007</v>
      </c>
      <c r="F63" s="105">
        <v>0</v>
      </c>
      <c r="G63" s="105">
        <f t="shared" ref="G63" si="47">H63/1.18</f>
        <v>16.949152542372882</v>
      </c>
      <c r="H63" s="105">
        <v>20</v>
      </c>
      <c r="I63" s="105">
        <f t="shared" ref="I63" si="48">H63*F63</f>
        <v>0</v>
      </c>
      <c r="J63" s="104">
        <f>121.57+119.1</f>
        <v>240.67</v>
      </c>
      <c r="K63" s="105">
        <f t="shared" ref="K63" si="49">L63/1.18</f>
        <v>12.711864406779661</v>
      </c>
      <c r="L63" s="105">
        <v>15</v>
      </c>
      <c r="M63" s="105">
        <f t="shared" ref="M63" si="50">L63*J63</f>
        <v>3610.0499999999997</v>
      </c>
      <c r="N63" s="106">
        <f>88.7+190.9</f>
        <v>279.60000000000002</v>
      </c>
      <c r="O63" s="105">
        <f t="shared" ref="O63" si="51">P63/1.18</f>
        <v>6.6101694915254239</v>
      </c>
      <c r="P63" s="105">
        <v>7.8</v>
      </c>
      <c r="Q63" s="105">
        <f t="shared" ref="Q63" si="52">P63*N63</f>
        <v>2180.88</v>
      </c>
      <c r="R63" s="104">
        <v>42.2</v>
      </c>
      <c r="S63" s="105">
        <f t="shared" ref="S63" si="53">T63/1.18</f>
        <v>13.220338983050848</v>
      </c>
      <c r="T63" s="105">
        <v>15.6</v>
      </c>
      <c r="U63" s="105">
        <f t="shared" ref="U63" si="54">T63*R63</f>
        <v>658.32</v>
      </c>
      <c r="V63" s="105">
        <v>0</v>
      </c>
      <c r="W63" s="105">
        <f t="shared" si="44"/>
        <v>5.9322033898305087</v>
      </c>
      <c r="X63" s="105">
        <v>7</v>
      </c>
      <c r="Y63" s="105">
        <f t="shared" ref="Y63" si="55">X63*V63</f>
        <v>0</v>
      </c>
      <c r="Z63" s="104">
        <f>32.9+29.3+43.9+36.2+59.7+8.7</f>
        <v>210.7</v>
      </c>
      <c r="AA63" s="105">
        <f t="shared" ref="AA63" si="56">AB63/1.18</f>
        <v>5.5084745762711869</v>
      </c>
      <c r="AB63" s="105">
        <v>6.5</v>
      </c>
      <c r="AC63" s="105">
        <f t="shared" ref="AC63" si="57">AB63*Z63</f>
        <v>1369.55</v>
      </c>
      <c r="AD63" s="105">
        <v>0</v>
      </c>
      <c r="AE63" s="105">
        <f t="shared" ref="AE63" si="58">AF63/1.18</f>
        <v>4.2372881355932206</v>
      </c>
      <c r="AF63" s="105">
        <v>5</v>
      </c>
      <c r="AG63" s="105">
        <f t="shared" ref="AG63" si="59">AF63*AD63</f>
        <v>0</v>
      </c>
      <c r="AH63" s="106">
        <v>0</v>
      </c>
      <c r="AI63" s="105">
        <f t="shared" ref="AI63" si="60">AJ63/1.18</f>
        <v>9.3220338983050848</v>
      </c>
      <c r="AJ63" s="105">
        <v>11</v>
      </c>
      <c r="AK63" s="105">
        <f t="shared" ref="AK63" si="61">AJ63*AH63</f>
        <v>0</v>
      </c>
      <c r="AL63" s="106">
        <v>9</v>
      </c>
      <c r="AM63" s="105">
        <f t="shared" ref="AM63" si="62">AN63/1.18</f>
        <v>12.711864406779661</v>
      </c>
      <c r="AN63" s="105">
        <v>15</v>
      </c>
      <c r="AO63" s="105">
        <f t="shared" ref="AO63" si="63">AN63*AL63</f>
        <v>135</v>
      </c>
      <c r="AP63" s="105">
        <f t="shared" si="19"/>
        <v>6740.5084745762715</v>
      </c>
      <c r="AQ63" s="105">
        <f t="shared" si="20"/>
        <v>7953.8</v>
      </c>
      <c r="AR63" s="106">
        <v>600</v>
      </c>
      <c r="AS63" s="105" t="s">
        <v>312</v>
      </c>
      <c r="AT63" s="107">
        <v>0</v>
      </c>
      <c r="AU63" s="107">
        <f t="shared" si="45"/>
        <v>5.0847457627118651</v>
      </c>
      <c r="AV63" s="107">
        <v>6</v>
      </c>
      <c r="AW63" s="107">
        <f t="shared" ref="AW63" si="64">AU63*AR63</f>
        <v>3050.8474576271192</v>
      </c>
      <c r="AX63" s="107">
        <f t="shared" ref="AX63" si="65">AV63*AR63</f>
        <v>3600</v>
      </c>
      <c r="AY63" s="108">
        <f t="shared" si="1"/>
        <v>9791.3559322033907</v>
      </c>
      <c r="AZ63" s="109">
        <f t="shared" si="2"/>
        <v>11553.8</v>
      </c>
      <c r="BA63" s="9"/>
      <c r="BB63" s="9"/>
      <c r="BC63" s="9"/>
      <c r="BD63" s="9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2"/>
      <c r="CL63" s="42"/>
      <c r="CM63" s="42"/>
      <c r="CN63" s="42"/>
      <c r="CO63" s="42"/>
    </row>
    <row r="64" spans="1:93" s="4" customFormat="1" ht="228.75" outlineLevel="1" x14ac:dyDescent="0.25">
      <c r="A64" s="100">
        <f t="shared" ref="A64" si="66">A63+1</f>
        <v>48</v>
      </c>
      <c r="B64" s="101" t="s">
        <v>253</v>
      </c>
      <c r="C64" s="102" t="s">
        <v>88</v>
      </c>
      <c r="D64" s="103" t="s">
        <v>19</v>
      </c>
      <c r="E64" s="104">
        <f t="shared" si="23"/>
        <v>3505.9</v>
      </c>
      <c r="F64" s="105">
        <v>0</v>
      </c>
      <c r="G64" s="105">
        <f t="shared" si="0"/>
        <v>16.949152542372882</v>
      </c>
      <c r="H64" s="105">
        <v>20</v>
      </c>
      <c r="I64" s="105">
        <f t="shared" si="3"/>
        <v>0</v>
      </c>
      <c r="J64" s="104">
        <f>397+66.9+65.8+3.7</f>
        <v>533.4</v>
      </c>
      <c r="K64" s="105">
        <f t="shared" si="4"/>
        <v>12.711864406779661</v>
      </c>
      <c r="L64" s="105">
        <v>15</v>
      </c>
      <c r="M64" s="105">
        <f t="shared" si="5"/>
        <v>8001</v>
      </c>
      <c r="N64" s="106">
        <v>2045.1</v>
      </c>
      <c r="O64" s="105">
        <f t="shared" si="6"/>
        <v>6.6101694915254239</v>
      </c>
      <c r="P64" s="105">
        <v>7.8</v>
      </c>
      <c r="Q64" s="105">
        <f t="shared" si="7"/>
        <v>15951.779999999999</v>
      </c>
      <c r="R64" s="104">
        <v>0</v>
      </c>
      <c r="S64" s="105">
        <f t="shared" si="8"/>
        <v>13.220338983050848</v>
      </c>
      <c r="T64" s="105">
        <v>15.6</v>
      </c>
      <c r="U64" s="105">
        <f t="shared" si="9"/>
        <v>0</v>
      </c>
      <c r="V64" s="105">
        <v>90</v>
      </c>
      <c r="W64" s="105">
        <v>4.2</v>
      </c>
      <c r="X64" s="105">
        <v>7</v>
      </c>
      <c r="Y64" s="105">
        <f t="shared" si="10"/>
        <v>630</v>
      </c>
      <c r="Z64" s="104">
        <v>803</v>
      </c>
      <c r="AA64" s="105">
        <f t="shared" si="25"/>
        <v>5.5084745762711869</v>
      </c>
      <c r="AB64" s="105">
        <v>6.5</v>
      </c>
      <c r="AC64" s="105">
        <f t="shared" si="12"/>
        <v>5219.5</v>
      </c>
      <c r="AD64" s="105">
        <v>0</v>
      </c>
      <c r="AE64" s="105">
        <f t="shared" si="26"/>
        <v>4.2372881355932206</v>
      </c>
      <c r="AF64" s="105">
        <v>5</v>
      </c>
      <c r="AG64" s="105">
        <f t="shared" si="14"/>
        <v>0</v>
      </c>
      <c r="AH64" s="106">
        <v>0</v>
      </c>
      <c r="AI64" s="105">
        <f t="shared" si="15"/>
        <v>9.3220338983050848</v>
      </c>
      <c r="AJ64" s="105">
        <v>11</v>
      </c>
      <c r="AK64" s="105">
        <f t="shared" si="16"/>
        <v>0</v>
      </c>
      <c r="AL64" s="106">
        <v>34.4</v>
      </c>
      <c r="AM64" s="105">
        <f t="shared" si="17"/>
        <v>12.711864406779661</v>
      </c>
      <c r="AN64" s="105">
        <v>15</v>
      </c>
      <c r="AO64" s="105">
        <f t="shared" si="18"/>
        <v>516</v>
      </c>
      <c r="AP64" s="105">
        <f t="shared" si="19"/>
        <v>25693.457627118645</v>
      </c>
      <c r="AQ64" s="105">
        <f t="shared" si="20"/>
        <v>30318.28</v>
      </c>
      <c r="AR64" s="106">
        <v>1760</v>
      </c>
      <c r="AS64" s="105" t="s">
        <v>312</v>
      </c>
      <c r="AT64" s="107">
        <v>0</v>
      </c>
      <c r="AU64" s="107">
        <f t="shared" si="45"/>
        <v>5.0847457627118651</v>
      </c>
      <c r="AV64" s="107">
        <v>6</v>
      </c>
      <c r="AW64" s="107">
        <f t="shared" si="27"/>
        <v>8949.1525423728817</v>
      </c>
      <c r="AX64" s="107">
        <f t="shared" si="22"/>
        <v>10560</v>
      </c>
      <c r="AY64" s="108">
        <f t="shared" si="1"/>
        <v>34642.610169491527</v>
      </c>
      <c r="AZ64" s="109">
        <f t="shared" si="2"/>
        <v>40878.28</v>
      </c>
      <c r="BA64" s="9"/>
      <c r="BB64" s="9"/>
      <c r="BC64" s="9"/>
      <c r="BD64" s="9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2"/>
      <c r="CL64" s="42"/>
      <c r="CM64" s="42"/>
      <c r="CN64" s="42"/>
      <c r="CO64" s="42"/>
    </row>
    <row r="65" spans="1:93" s="4" customFormat="1" ht="183" outlineLevel="1" x14ac:dyDescent="0.25">
      <c r="A65" s="100">
        <f t="shared" ref="A65" si="67">A63+1</f>
        <v>48</v>
      </c>
      <c r="B65" s="101" t="s">
        <v>253</v>
      </c>
      <c r="C65" s="102" t="s">
        <v>89</v>
      </c>
      <c r="D65" s="103" t="s">
        <v>19</v>
      </c>
      <c r="E65" s="104">
        <f t="shared" si="23"/>
        <v>1718.8999999999999</v>
      </c>
      <c r="F65" s="105">
        <v>0</v>
      </c>
      <c r="G65" s="105">
        <f t="shared" si="0"/>
        <v>16.949152542372882</v>
      </c>
      <c r="H65" s="105">
        <v>20</v>
      </c>
      <c r="I65" s="105">
        <f t="shared" si="3"/>
        <v>0</v>
      </c>
      <c r="J65" s="104">
        <f>39.2+53.4</f>
        <v>92.6</v>
      </c>
      <c r="K65" s="105">
        <f t="shared" si="4"/>
        <v>12.711864406779661</v>
      </c>
      <c r="L65" s="105">
        <v>15</v>
      </c>
      <c r="M65" s="105">
        <f t="shared" si="5"/>
        <v>1389</v>
      </c>
      <c r="N65" s="106">
        <f>139.4+216.4+159.2+31.6+166.7+259.6+167+128.6</f>
        <v>1268.5</v>
      </c>
      <c r="O65" s="105">
        <f t="shared" si="6"/>
        <v>6.6101694915254239</v>
      </c>
      <c r="P65" s="105">
        <v>7.8</v>
      </c>
      <c r="Q65" s="105">
        <f t="shared" si="7"/>
        <v>9894.2999999999993</v>
      </c>
      <c r="R65" s="104">
        <v>0</v>
      </c>
      <c r="S65" s="105">
        <f t="shared" si="8"/>
        <v>13.220338983050848</v>
      </c>
      <c r="T65" s="105">
        <v>15.6</v>
      </c>
      <c r="U65" s="105">
        <f t="shared" si="9"/>
        <v>0</v>
      </c>
      <c r="V65" s="105">
        <v>0</v>
      </c>
      <c r="W65" s="105">
        <f t="shared" ref="W65:W66" si="68">X65/1.18</f>
        <v>5.9322033898305087</v>
      </c>
      <c r="X65" s="105">
        <v>7</v>
      </c>
      <c r="Y65" s="105">
        <f t="shared" si="10"/>
        <v>0</v>
      </c>
      <c r="Z65" s="104">
        <f>17.6+14.9+74.2+32.1+61+31.2+49.8</f>
        <v>280.8</v>
      </c>
      <c r="AA65" s="105">
        <f t="shared" si="25"/>
        <v>5.5084745762711869</v>
      </c>
      <c r="AB65" s="105">
        <v>6.5</v>
      </c>
      <c r="AC65" s="105">
        <f t="shared" si="12"/>
        <v>1825.2</v>
      </c>
      <c r="AD65" s="105">
        <v>0</v>
      </c>
      <c r="AE65" s="105">
        <f t="shared" si="26"/>
        <v>4.2372881355932206</v>
      </c>
      <c r="AF65" s="105">
        <v>5</v>
      </c>
      <c r="AG65" s="105">
        <f t="shared" si="14"/>
        <v>0</v>
      </c>
      <c r="AH65" s="106">
        <f>13.7+26.5+15.3</f>
        <v>55.5</v>
      </c>
      <c r="AI65" s="105">
        <f t="shared" si="15"/>
        <v>9.3220338983050848</v>
      </c>
      <c r="AJ65" s="105">
        <v>11</v>
      </c>
      <c r="AK65" s="105">
        <f t="shared" si="16"/>
        <v>610.5</v>
      </c>
      <c r="AL65" s="106">
        <f>2.4+8+11.1</f>
        <v>21.5</v>
      </c>
      <c r="AM65" s="105">
        <f t="shared" si="17"/>
        <v>12.711864406779661</v>
      </c>
      <c r="AN65" s="105">
        <v>15</v>
      </c>
      <c r="AO65" s="105">
        <f t="shared" si="18"/>
        <v>322.5</v>
      </c>
      <c r="AP65" s="105">
        <f t="shared" si="19"/>
        <v>11899.576271186441</v>
      </c>
      <c r="AQ65" s="105">
        <f t="shared" si="20"/>
        <v>14041.5</v>
      </c>
      <c r="AR65" s="106">
        <f>892+187</f>
        <v>1079</v>
      </c>
      <c r="AS65" s="105" t="s">
        <v>312</v>
      </c>
      <c r="AT65" s="107">
        <v>0</v>
      </c>
      <c r="AU65" s="107">
        <f t="shared" si="45"/>
        <v>5.0847457627118651</v>
      </c>
      <c r="AV65" s="107">
        <v>6</v>
      </c>
      <c r="AW65" s="107">
        <f t="shared" si="27"/>
        <v>5486.4406779661022</v>
      </c>
      <c r="AX65" s="107">
        <f t="shared" si="22"/>
        <v>6474</v>
      </c>
      <c r="AY65" s="108">
        <f t="shared" si="1"/>
        <v>17386.016949152545</v>
      </c>
      <c r="AZ65" s="109">
        <f t="shared" si="2"/>
        <v>20515.5</v>
      </c>
      <c r="BA65" s="9"/>
      <c r="BB65" s="9"/>
      <c r="BC65" s="9"/>
      <c r="BD65" s="9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2"/>
      <c r="CL65" s="42"/>
      <c r="CM65" s="42"/>
      <c r="CN65" s="42"/>
      <c r="CO65" s="42"/>
    </row>
    <row r="66" spans="1:93" s="4" customFormat="1" ht="183" outlineLevel="1" x14ac:dyDescent="0.25">
      <c r="A66" s="100">
        <f t="shared" ref="A66" si="69">A65+1</f>
        <v>49</v>
      </c>
      <c r="B66" s="131" t="s">
        <v>21</v>
      </c>
      <c r="C66" s="102" t="s">
        <v>52</v>
      </c>
      <c r="D66" s="103" t="s">
        <v>19</v>
      </c>
      <c r="E66" s="104">
        <f t="shared" si="23"/>
        <v>208.5</v>
      </c>
      <c r="F66" s="105">
        <v>0</v>
      </c>
      <c r="G66" s="105">
        <f t="shared" si="0"/>
        <v>16.949152542372882</v>
      </c>
      <c r="H66" s="105">
        <v>20</v>
      </c>
      <c r="I66" s="105">
        <f t="shared" si="3"/>
        <v>0</v>
      </c>
      <c r="J66" s="104">
        <f>11.1</f>
        <v>11.1</v>
      </c>
      <c r="K66" s="105">
        <f t="shared" si="4"/>
        <v>12.711864406779661</v>
      </c>
      <c r="L66" s="105">
        <v>15</v>
      </c>
      <c r="M66" s="105">
        <f t="shared" si="5"/>
        <v>166.5</v>
      </c>
      <c r="N66" s="106">
        <f>118.5+41.3</f>
        <v>159.80000000000001</v>
      </c>
      <c r="O66" s="105">
        <f t="shared" si="6"/>
        <v>6.6101694915254239</v>
      </c>
      <c r="P66" s="105">
        <v>7.8</v>
      </c>
      <c r="Q66" s="105">
        <f t="shared" si="7"/>
        <v>1246.44</v>
      </c>
      <c r="R66" s="104">
        <v>0</v>
      </c>
      <c r="S66" s="105">
        <f t="shared" si="8"/>
        <v>13.220338983050848</v>
      </c>
      <c r="T66" s="105">
        <v>15.6</v>
      </c>
      <c r="U66" s="105">
        <f t="shared" si="9"/>
        <v>0</v>
      </c>
      <c r="V66" s="105">
        <v>0</v>
      </c>
      <c r="W66" s="105">
        <f t="shared" si="68"/>
        <v>5.9322033898305087</v>
      </c>
      <c r="X66" s="105">
        <v>7</v>
      </c>
      <c r="Y66" s="105">
        <f t="shared" si="10"/>
        <v>0</v>
      </c>
      <c r="Z66" s="104">
        <f>32.4</f>
        <v>32.4</v>
      </c>
      <c r="AA66" s="105">
        <f t="shared" si="25"/>
        <v>5.5084745762711869</v>
      </c>
      <c r="AB66" s="105">
        <v>6.5</v>
      </c>
      <c r="AC66" s="105">
        <f t="shared" si="12"/>
        <v>210.6</v>
      </c>
      <c r="AD66" s="105">
        <v>0</v>
      </c>
      <c r="AE66" s="105">
        <f t="shared" si="26"/>
        <v>4.2372881355932206</v>
      </c>
      <c r="AF66" s="105">
        <v>5</v>
      </c>
      <c r="AG66" s="105">
        <f t="shared" si="14"/>
        <v>0</v>
      </c>
      <c r="AH66" s="106">
        <v>0</v>
      </c>
      <c r="AI66" s="105">
        <f t="shared" si="15"/>
        <v>9.3220338983050848</v>
      </c>
      <c r="AJ66" s="105">
        <v>11</v>
      </c>
      <c r="AK66" s="105">
        <f t="shared" si="16"/>
        <v>0</v>
      </c>
      <c r="AL66" s="106">
        <v>5.2</v>
      </c>
      <c r="AM66" s="105">
        <f t="shared" si="17"/>
        <v>12.711864406779661</v>
      </c>
      <c r="AN66" s="105">
        <v>15</v>
      </c>
      <c r="AO66" s="105">
        <f t="shared" si="18"/>
        <v>78</v>
      </c>
      <c r="AP66" s="105">
        <f t="shared" si="19"/>
        <v>1441.9830508474577</v>
      </c>
      <c r="AQ66" s="105">
        <f t="shared" si="20"/>
        <v>1701.54</v>
      </c>
      <c r="AR66" s="106">
        <v>642</v>
      </c>
      <c r="AS66" s="105" t="s">
        <v>312</v>
      </c>
      <c r="AT66" s="107">
        <v>0</v>
      </c>
      <c r="AU66" s="107">
        <f t="shared" si="45"/>
        <v>5.0847457627118651</v>
      </c>
      <c r="AV66" s="107">
        <v>6</v>
      </c>
      <c r="AW66" s="107">
        <f t="shared" si="27"/>
        <v>3264.4067796610175</v>
      </c>
      <c r="AX66" s="107">
        <f t="shared" si="22"/>
        <v>3852</v>
      </c>
      <c r="AY66" s="108">
        <f t="shared" si="1"/>
        <v>4706.3898305084749</v>
      </c>
      <c r="AZ66" s="109">
        <f t="shared" si="2"/>
        <v>5553.54</v>
      </c>
      <c r="BA66" s="9"/>
      <c r="BB66" s="9"/>
      <c r="BC66" s="9"/>
      <c r="BD66" s="9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2"/>
      <c r="CL66" s="42"/>
      <c r="CM66" s="42"/>
      <c r="CN66" s="42"/>
      <c r="CO66" s="42"/>
    </row>
    <row r="67" spans="1:93" s="4" customFormat="1" ht="270" outlineLevel="1" x14ac:dyDescent="0.25">
      <c r="A67" s="100">
        <f t="shared" ref="A67" si="70">A65+1</f>
        <v>49</v>
      </c>
      <c r="B67" s="131" t="s">
        <v>253</v>
      </c>
      <c r="C67" s="132" t="s">
        <v>232</v>
      </c>
      <c r="D67" s="103" t="s">
        <v>19</v>
      </c>
      <c r="E67" s="104">
        <f t="shared" si="23"/>
        <v>610.5</v>
      </c>
      <c r="F67" s="105">
        <v>0</v>
      </c>
      <c r="G67" s="105">
        <f t="shared" si="0"/>
        <v>16.949152542372882</v>
      </c>
      <c r="H67" s="105">
        <v>20</v>
      </c>
      <c r="I67" s="105">
        <f t="shared" si="3"/>
        <v>0</v>
      </c>
      <c r="J67" s="104">
        <v>203.2</v>
      </c>
      <c r="K67" s="105">
        <f t="shared" si="4"/>
        <v>12.711864406779661</v>
      </c>
      <c r="L67" s="105">
        <v>15</v>
      </c>
      <c r="M67" s="105">
        <f t="shared" si="5"/>
        <v>3048</v>
      </c>
      <c r="N67" s="106">
        <f>183.2+154.6</f>
        <v>337.79999999999995</v>
      </c>
      <c r="O67" s="105">
        <f t="shared" si="6"/>
        <v>6.6101694915254239</v>
      </c>
      <c r="P67" s="105">
        <v>7.8</v>
      </c>
      <c r="Q67" s="105">
        <f t="shared" si="7"/>
        <v>2634.8399999999997</v>
      </c>
      <c r="R67" s="104">
        <v>0</v>
      </c>
      <c r="S67" s="105">
        <f t="shared" si="8"/>
        <v>13.220338983050848</v>
      </c>
      <c r="T67" s="105">
        <v>15.6</v>
      </c>
      <c r="U67" s="105">
        <f t="shared" si="9"/>
        <v>0</v>
      </c>
      <c r="V67" s="105">
        <v>0</v>
      </c>
      <c r="W67" s="105">
        <v>4.2</v>
      </c>
      <c r="X67" s="105">
        <v>7</v>
      </c>
      <c r="Y67" s="105">
        <f t="shared" si="10"/>
        <v>0</v>
      </c>
      <c r="Z67" s="104">
        <f>58.6+3</f>
        <v>61.6</v>
      </c>
      <c r="AA67" s="105">
        <f t="shared" si="25"/>
        <v>5.5084745762711869</v>
      </c>
      <c r="AB67" s="105">
        <v>6.5</v>
      </c>
      <c r="AC67" s="105">
        <f t="shared" si="12"/>
        <v>400.40000000000003</v>
      </c>
      <c r="AD67" s="105">
        <v>0</v>
      </c>
      <c r="AE67" s="105">
        <f t="shared" si="26"/>
        <v>4.2372881355932206</v>
      </c>
      <c r="AF67" s="105">
        <v>5</v>
      </c>
      <c r="AG67" s="105">
        <f t="shared" si="14"/>
        <v>0</v>
      </c>
      <c r="AH67" s="106">
        <v>0</v>
      </c>
      <c r="AI67" s="105">
        <f t="shared" si="15"/>
        <v>9.3220338983050848</v>
      </c>
      <c r="AJ67" s="105">
        <v>11</v>
      </c>
      <c r="AK67" s="105">
        <f t="shared" si="16"/>
        <v>0</v>
      </c>
      <c r="AL67" s="106">
        <v>7.9</v>
      </c>
      <c r="AM67" s="105">
        <f t="shared" si="17"/>
        <v>12.711864406779661</v>
      </c>
      <c r="AN67" s="105">
        <v>15</v>
      </c>
      <c r="AO67" s="105">
        <f t="shared" si="18"/>
        <v>118.5</v>
      </c>
      <c r="AP67" s="105">
        <f t="shared" si="19"/>
        <v>5255.7118644067796</v>
      </c>
      <c r="AQ67" s="105">
        <f t="shared" si="20"/>
        <v>6201.74</v>
      </c>
      <c r="AR67" s="106">
        <v>499</v>
      </c>
      <c r="AS67" s="105" t="s">
        <v>312</v>
      </c>
      <c r="AT67" s="107">
        <v>0</v>
      </c>
      <c r="AU67" s="107">
        <f t="shared" si="45"/>
        <v>5.0847457627118651</v>
      </c>
      <c r="AV67" s="107">
        <v>6</v>
      </c>
      <c r="AW67" s="107">
        <f t="shared" si="27"/>
        <v>2537.2881355932209</v>
      </c>
      <c r="AX67" s="107">
        <f t="shared" si="22"/>
        <v>2994</v>
      </c>
      <c r="AY67" s="108">
        <f t="shared" si="1"/>
        <v>7793</v>
      </c>
      <c r="AZ67" s="109">
        <f t="shared" si="2"/>
        <v>9195.74</v>
      </c>
      <c r="BA67" s="9"/>
      <c r="BB67" s="9"/>
      <c r="BC67" s="9"/>
      <c r="BD67" s="9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2"/>
      <c r="CL67" s="42"/>
      <c r="CM67" s="42"/>
      <c r="CN67" s="42"/>
      <c r="CO67" s="42"/>
    </row>
    <row r="68" spans="1:93" s="4" customFormat="1" ht="183" outlineLevel="1" x14ac:dyDescent="0.25">
      <c r="A68" s="100">
        <f t="shared" ref="A68" si="71">A67+1</f>
        <v>50</v>
      </c>
      <c r="B68" s="131" t="s">
        <v>21</v>
      </c>
      <c r="C68" s="132" t="s">
        <v>53</v>
      </c>
      <c r="D68" s="103" t="s">
        <v>19</v>
      </c>
      <c r="E68" s="104">
        <f t="shared" si="23"/>
        <v>496.6</v>
      </c>
      <c r="F68" s="105">
        <v>0</v>
      </c>
      <c r="G68" s="105">
        <f t="shared" si="0"/>
        <v>16.949152542372882</v>
      </c>
      <c r="H68" s="105">
        <v>20</v>
      </c>
      <c r="I68" s="105">
        <f t="shared" si="3"/>
        <v>0</v>
      </c>
      <c r="J68" s="104">
        <f>61.3</f>
        <v>61.3</v>
      </c>
      <c r="K68" s="105">
        <f t="shared" si="4"/>
        <v>12.711864406779661</v>
      </c>
      <c r="L68" s="105">
        <v>15</v>
      </c>
      <c r="M68" s="105">
        <f t="shared" si="5"/>
        <v>919.5</v>
      </c>
      <c r="N68" s="106">
        <f>32+157.8+116.3</f>
        <v>306.10000000000002</v>
      </c>
      <c r="O68" s="105">
        <f t="shared" si="6"/>
        <v>6.6101694915254239</v>
      </c>
      <c r="P68" s="105">
        <v>7.8</v>
      </c>
      <c r="Q68" s="105">
        <f t="shared" si="7"/>
        <v>2387.58</v>
      </c>
      <c r="R68" s="104">
        <v>0</v>
      </c>
      <c r="S68" s="105">
        <f t="shared" si="8"/>
        <v>13.220338983050848</v>
      </c>
      <c r="T68" s="105">
        <v>15.6</v>
      </c>
      <c r="U68" s="105">
        <f t="shared" si="9"/>
        <v>0</v>
      </c>
      <c r="V68" s="105">
        <v>8.6</v>
      </c>
      <c r="W68" s="105">
        <f t="shared" ref="W68" si="72">X68/1.18</f>
        <v>5.9322033898305087</v>
      </c>
      <c r="X68" s="105">
        <v>7</v>
      </c>
      <c r="Y68" s="105">
        <f t="shared" si="10"/>
        <v>60.199999999999996</v>
      </c>
      <c r="Z68" s="104">
        <f>10.1+63+31.2+10.3</f>
        <v>114.6</v>
      </c>
      <c r="AA68" s="105">
        <f t="shared" si="25"/>
        <v>5.5084745762711869</v>
      </c>
      <c r="AB68" s="105">
        <v>6.5</v>
      </c>
      <c r="AC68" s="105">
        <f t="shared" si="12"/>
        <v>744.9</v>
      </c>
      <c r="AD68" s="105">
        <v>0</v>
      </c>
      <c r="AE68" s="105">
        <f t="shared" si="26"/>
        <v>4.2372881355932206</v>
      </c>
      <c r="AF68" s="105">
        <v>5</v>
      </c>
      <c r="AG68" s="105">
        <f t="shared" si="14"/>
        <v>0</v>
      </c>
      <c r="AH68" s="106">
        <v>0</v>
      </c>
      <c r="AI68" s="105">
        <f t="shared" si="15"/>
        <v>9.3220338983050848</v>
      </c>
      <c r="AJ68" s="105">
        <v>11</v>
      </c>
      <c r="AK68" s="105">
        <f t="shared" si="16"/>
        <v>0</v>
      </c>
      <c r="AL68" s="106">
        <v>6</v>
      </c>
      <c r="AM68" s="105">
        <f t="shared" si="17"/>
        <v>12.711864406779661</v>
      </c>
      <c r="AN68" s="105">
        <v>15</v>
      </c>
      <c r="AO68" s="105">
        <f t="shared" si="18"/>
        <v>90</v>
      </c>
      <c r="AP68" s="105">
        <f t="shared" si="19"/>
        <v>3561.1694915254234</v>
      </c>
      <c r="AQ68" s="105">
        <f t="shared" si="20"/>
        <v>4202.1799999999994</v>
      </c>
      <c r="AR68" s="106">
        <v>0</v>
      </c>
      <c r="AS68" s="105" t="s">
        <v>312</v>
      </c>
      <c r="AT68" s="107">
        <v>0</v>
      </c>
      <c r="AU68" s="107">
        <f t="shared" si="45"/>
        <v>5.0847457627118651</v>
      </c>
      <c r="AV68" s="107">
        <v>6</v>
      </c>
      <c r="AW68" s="107">
        <f t="shared" si="27"/>
        <v>0</v>
      </c>
      <c r="AX68" s="107">
        <f t="shared" si="22"/>
        <v>0</v>
      </c>
      <c r="AY68" s="108">
        <f t="shared" si="1"/>
        <v>3561.1694915254234</v>
      </c>
      <c r="AZ68" s="109">
        <f t="shared" si="2"/>
        <v>4202.1799999999994</v>
      </c>
      <c r="BA68" s="9"/>
      <c r="BB68" s="9"/>
      <c r="BC68" s="9"/>
      <c r="BD68" s="9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2"/>
      <c r="CL68" s="42"/>
      <c r="CM68" s="42"/>
      <c r="CN68" s="42"/>
      <c r="CO68" s="42"/>
    </row>
    <row r="69" spans="1:93" s="31" customFormat="1" ht="45.75" outlineLevel="1" x14ac:dyDescent="0.3">
      <c r="A69" s="149" t="s">
        <v>92</v>
      </c>
      <c r="B69" s="150"/>
      <c r="C69" s="150"/>
      <c r="D69" s="133"/>
      <c r="E69" s="104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11"/>
      <c r="AQ69" s="111"/>
      <c r="AR69" s="133"/>
      <c r="AS69" s="105"/>
      <c r="AT69" s="133"/>
      <c r="AU69" s="133"/>
      <c r="AV69" s="133"/>
      <c r="AW69" s="133"/>
      <c r="AX69" s="133"/>
      <c r="AY69" s="111"/>
      <c r="AZ69" s="112"/>
      <c r="BA69" s="30"/>
      <c r="BB69" s="30"/>
      <c r="BC69" s="30"/>
      <c r="BD69" s="30"/>
      <c r="BE69" s="30"/>
      <c r="BF69" s="30"/>
    </row>
    <row r="70" spans="1:93" s="29" customFormat="1" ht="45.75" outlineLevel="1" x14ac:dyDescent="0.3">
      <c r="A70" s="149" t="s">
        <v>56</v>
      </c>
      <c r="B70" s="150"/>
      <c r="C70" s="150"/>
      <c r="D70" s="133"/>
      <c r="E70" s="104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11"/>
      <c r="AQ70" s="111"/>
      <c r="AR70" s="133"/>
      <c r="AS70" s="105"/>
      <c r="AT70" s="133"/>
      <c r="AU70" s="133"/>
      <c r="AV70" s="133"/>
      <c r="AW70" s="133"/>
      <c r="AX70" s="133"/>
      <c r="AY70" s="111"/>
      <c r="AZ70" s="130"/>
      <c r="BA70" s="28"/>
      <c r="BB70" s="28"/>
      <c r="BC70" s="28"/>
      <c r="BD70" s="28"/>
      <c r="BE70" s="28"/>
      <c r="BF70" s="28"/>
    </row>
    <row r="71" spans="1:93" s="4" customFormat="1" ht="183" outlineLevel="1" x14ac:dyDescent="0.25">
      <c r="A71" s="100">
        <f>A68+1</f>
        <v>51</v>
      </c>
      <c r="B71" s="101" t="s">
        <v>253</v>
      </c>
      <c r="C71" s="102" t="s">
        <v>93</v>
      </c>
      <c r="D71" s="103" t="s">
        <v>19</v>
      </c>
      <c r="E71" s="104">
        <f t="shared" si="23"/>
        <v>2820.1700000000005</v>
      </c>
      <c r="F71" s="105">
        <v>0</v>
      </c>
      <c r="G71" s="105">
        <f t="shared" si="0"/>
        <v>16.949152542372882</v>
      </c>
      <c r="H71" s="105">
        <v>20</v>
      </c>
      <c r="I71" s="105">
        <f t="shared" si="3"/>
        <v>0</v>
      </c>
      <c r="J71" s="104">
        <v>943</v>
      </c>
      <c r="K71" s="105">
        <f t="shared" si="4"/>
        <v>12.711864406779661</v>
      </c>
      <c r="L71" s="105">
        <v>15</v>
      </c>
      <c r="M71" s="105">
        <f t="shared" si="5"/>
        <v>14145</v>
      </c>
      <c r="N71" s="106">
        <f>879.07-11.9</f>
        <v>867.17000000000007</v>
      </c>
      <c r="O71" s="105">
        <f t="shared" si="6"/>
        <v>6.6101694915254239</v>
      </c>
      <c r="P71" s="105">
        <v>7.8</v>
      </c>
      <c r="Q71" s="105">
        <f t="shared" si="7"/>
        <v>6763.9260000000004</v>
      </c>
      <c r="R71" s="104">
        <f>45.4+6</f>
        <v>51.4</v>
      </c>
      <c r="S71" s="105">
        <f t="shared" si="8"/>
        <v>13.220338983050848</v>
      </c>
      <c r="T71" s="105">
        <v>15.6</v>
      </c>
      <c r="U71" s="105">
        <f t="shared" si="9"/>
        <v>801.83999999999992</v>
      </c>
      <c r="V71" s="105">
        <f>70+20.6</f>
        <v>90.6</v>
      </c>
      <c r="W71" s="105">
        <f t="shared" ref="W71:W72" si="73">X71/1.18</f>
        <v>5.9322033898305087</v>
      </c>
      <c r="X71" s="105">
        <v>7</v>
      </c>
      <c r="Y71" s="105">
        <f t="shared" si="10"/>
        <v>634.19999999999993</v>
      </c>
      <c r="Z71" s="104">
        <v>718.8</v>
      </c>
      <c r="AA71" s="105">
        <f t="shared" si="25"/>
        <v>5.5084745762711869</v>
      </c>
      <c r="AB71" s="105">
        <v>6.5</v>
      </c>
      <c r="AC71" s="105">
        <f t="shared" si="12"/>
        <v>4672.2</v>
      </c>
      <c r="AD71" s="105">
        <v>0</v>
      </c>
      <c r="AE71" s="105">
        <f t="shared" si="26"/>
        <v>4.2372881355932206</v>
      </c>
      <c r="AF71" s="105">
        <v>5</v>
      </c>
      <c r="AG71" s="105">
        <f t="shared" si="14"/>
        <v>0</v>
      </c>
      <c r="AH71" s="106">
        <f>32.6+51.1+24.2</f>
        <v>107.9</v>
      </c>
      <c r="AI71" s="105">
        <f t="shared" si="15"/>
        <v>9.3220338983050848</v>
      </c>
      <c r="AJ71" s="105">
        <v>11</v>
      </c>
      <c r="AK71" s="105">
        <f t="shared" si="16"/>
        <v>1186.9000000000001</v>
      </c>
      <c r="AL71" s="106">
        <v>41.3</v>
      </c>
      <c r="AM71" s="105">
        <f t="shared" si="17"/>
        <v>12.711864406779661</v>
      </c>
      <c r="AN71" s="105">
        <v>15</v>
      </c>
      <c r="AO71" s="105">
        <f t="shared" si="18"/>
        <v>619.5</v>
      </c>
      <c r="AP71" s="105">
        <f t="shared" si="19"/>
        <v>24426.750847457632</v>
      </c>
      <c r="AQ71" s="105">
        <f t="shared" si="20"/>
        <v>28823.566000000003</v>
      </c>
      <c r="AR71" s="106">
        <f>1798.36+1203.44+93.9</f>
        <v>3095.7000000000003</v>
      </c>
      <c r="AS71" s="105" t="s">
        <v>312</v>
      </c>
      <c r="AT71" s="107">
        <v>0</v>
      </c>
      <c r="AU71" s="107">
        <f t="shared" si="40"/>
        <v>5.0847457627118651</v>
      </c>
      <c r="AV71" s="107">
        <v>6</v>
      </c>
      <c r="AW71" s="107">
        <f t="shared" si="27"/>
        <v>15740.847457627122</v>
      </c>
      <c r="AX71" s="107">
        <f t="shared" si="22"/>
        <v>18574.2</v>
      </c>
      <c r="AY71" s="108">
        <f t="shared" si="1"/>
        <v>40167.598305084757</v>
      </c>
      <c r="AZ71" s="109">
        <f t="shared" si="2"/>
        <v>47397.766000000003</v>
      </c>
      <c r="BA71" s="9"/>
      <c r="BB71" s="9"/>
      <c r="BC71" s="9"/>
      <c r="BD71" s="9"/>
      <c r="BE71" s="45"/>
      <c r="BF71" s="45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</row>
    <row r="72" spans="1:93" s="4" customFormat="1" ht="228.75" outlineLevel="1" x14ac:dyDescent="0.25">
      <c r="A72" s="100">
        <f>A71+1</f>
        <v>52</v>
      </c>
      <c r="B72" s="101" t="s">
        <v>16</v>
      </c>
      <c r="C72" s="102" t="s">
        <v>251</v>
      </c>
      <c r="D72" s="103" t="s">
        <v>19</v>
      </c>
      <c r="E72" s="104">
        <f t="shared" si="23"/>
        <v>188.7</v>
      </c>
      <c r="F72" s="105">
        <v>0</v>
      </c>
      <c r="G72" s="105">
        <f t="shared" si="0"/>
        <v>16.949152542372882</v>
      </c>
      <c r="H72" s="105">
        <v>20</v>
      </c>
      <c r="I72" s="105">
        <f t="shared" si="3"/>
        <v>0</v>
      </c>
      <c r="J72" s="104">
        <f>31.4</f>
        <v>31.4</v>
      </c>
      <c r="K72" s="105">
        <f t="shared" si="4"/>
        <v>12.711864406779661</v>
      </c>
      <c r="L72" s="105">
        <v>15</v>
      </c>
      <c r="M72" s="105">
        <f t="shared" si="5"/>
        <v>471</v>
      </c>
      <c r="N72" s="106">
        <f>34.3+65-18.1</f>
        <v>81.199999999999989</v>
      </c>
      <c r="O72" s="105">
        <f t="shared" si="6"/>
        <v>6.6101694915254239</v>
      </c>
      <c r="P72" s="105">
        <v>7.8</v>
      </c>
      <c r="Q72" s="105">
        <f t="shared" si="7"/>
        <v>633.3599999999999</v>
      </c>
      <c r="R72" s="104">
        <v>0</v>
      </c>
      <c r="S72" s="105">
        <f t="shared" si="8"/>
        <v>13.220338983050848</v>
      </c>
      <c r="T72" s="105">
        <v>15.6</v>
      </c>
      <c r="U72" s="105">
        <f t="shared" si="9"/>
        <v>0</v>
      </c>
      <c r="V72" s="105">
        <v>0</v>
      </c>
      <c r="W72" s="105">
        <f t="shared" si="73"/>
        <v>5.9322033898305087</v>
      </c>
      <c r="X72" s="105">
        <v>7</v>
      </c>
      <c r="Y72" s="105">
        <f t="shared" si="10"/>
        <v>0</v>
      </c>
      <c r="Z72" s="104">
        <f>59+13.3</f>
        <v>72.3</v>
      </c>
      <c r="AA72" s="105">
        <f t="shared" si="25"/>
        <v>5.5084745762711869</v>
      </c>
      <c r="AB72" s="105">
        <v>6.5</v>
      </c>
      <c r="AC72" s="105">
        <f t="shared" si="12"/>
        <v>469.95</v>
      </c>
      <c r="AD72" s="105">
        <v>0</v>
      </c>
      <c r="AE72" s="105">
        <f t="shared" si="26"/>
        <v>4.2372881355932206</v>
      </c>
      <c r="AF72" s="105">
        <v>5</v>
      </c>
      <c r="AG72" s="105">
        <f t="shared" si="14"/>
        <v>0</v>
      </c>
      <c r="AH72" s="106">
        <v>0</v>
      </c>
      <c r="AI72" s="105">
        <f t="shared" si="15"/>
        <v>9.3220338983050848</v>
      </c>
      <c r="AJ72" s="105">
        <v>11</v>
      </c>
      <c r="AK72" s="105">
        <f t="shared" si="16"/>
        <v>0</v>
      </c>
      <c r="AL72" s="106">
        <v>3.8</v>
      </c>
      <c r="AM72" s="105">
        <f t="shared" si="17"/>
        <v>12.711864406779661</v>
      </c>
      <c r="AN72" s="105">
        <v>15</v>
      </c>
      <c r="AO72" s="105">
        <f t="shared" si="18"/>
        <v>57</v>
      </c>
      <c r="AP72" s="105">
        <f t="shared" si="19"/>
        <v>1382.4661016949153</v>
      </c>
      <c r="AQ72" s="105">
        <f t="shared" si="20"/>
        <v>1631.31</v>
      </c>
      <c r="AR72" s="106">
        <v>71.099999999999994</v>
      </c>
      <c r="AS72" s="105" t="s">
        <v>312</v>
      </c>
      <c r="AT72" s="107">
        <v>0</v>
      </c>
      <c r="AU72" s="107">
        <f t="shared" si="40"/>
        <v>5.0847457627118651</v>
      </c>
      <c r="AV72" s="107">
        <v>6</v>
      </c>
      <c r="AW72" s="107">
        <f t="shared" si="27"/>
        <v>361.52542372881356</v>
      </c>
      <c r="AX72" s="107">
        <f t="shared" si="22"/>
        <v>426.59999999999997</v>
      </c>
      <c r="AY72" s="108">
        <f t="shared" si="1"/>
        <v>1743.9915254237289</v>
      </c>
      <c r="AZ72" s="109">
        <f t="shared" si="2"/>
        <v>2057.91</v>
      </c>
      <c r="BA72" s="9"/>
      <c r="BB72" s="9"/>
      <c r="BC72" s="9"/>
      <c r="BD72" s="9"/>
      <c r="BE72" s="45"/>
      <c r="BF72" s="45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</row>
    <row r="73" spans="1:93" s="4" customFormat="1" ht="274.5" outlineLevel="1" x14ac:dyDescent="0.25">
      <c r="A73" s="100">
        <f t="shared" ref="A73:A79" si="74">A72+1</f>
        <v>53</v>
      </c>
      <c r="B73" s="101" t="s">
        <v>21</v>
      </c>
      <c r="C73" s="102" t="s">
        <v>94</v>
      </c>
      <c r="D73" s="103" t="s">
        <v>19</v>
      </c>
      <c r="E73" s="104">
        <f t="shared" si="23"/>
        <v>166.5</v>
      </c>
      <c r="F73" s="105">
        <v>0</v>
      </c>
      <c r="G73" s="105">
        <f t="shared" si="0"/>
        <v>16.949152542372882</v>
      </c>
      <c r="H73" s="105">
        <v>20</v>
      </c>
      <c r="I73" s="105">
        <f t="shared" si="3"/>
        <v>0</v>
      </c>
      <c r="J73" s="104">
        <v>0</v>
      </c>
      <c r="K73" s="105">
        <f t="shared" ref="K73:K136" si="75">L73/1.18</f>
        <v>12.711864406779661</v>
      </c>
      <c r="L73" s="105">
        <v>15</v>
      </c>
      <c r="M73" s="105">
        <f t="shared" si="5"/>
        <v>0</v>
      </c>
      <c r="N73" s="106">
        <v>166.5</v>
      </c>
      <c r="O73" s="105">
        <f t="shared" si="6"/>
        <v>6.6101694915254239</v>
      </c>
      <c r="P73" s="105">
        <v>7.8</v>
      </c>
      <c r="Q73" s="105">
        <f t="shared" si="7"/>
        <v>1298.7</v>
      </c>
      <c r="R73" s="104">
        <v>0</v>
      </c>
      <c r="S73" s="105">
        <f t="shared" si="8"/>
        <v>13.220338983050848</v>
      </c>
      <c r="T73" s="105">
        <v>15.6</v>
      </c>
      <c r="U73" s="105">
        <f t="shared" si="9"/>
        <v>0</v>
      </c>
      <c r="V73" s="105">
        <v>0</v>
      </c>
      <c r="W73" s="105">
        <v>4.2</v>
      </c>
      <c r="X73" s="105">
        <v>7</v>
      </c>
      <c r="Y73" s="105">
        <f t="shared" si="10"/>
        <v>0</v>
      </c>
      <c r="Z73" s="104">
        <v>0</v>
      </c>
      <c r="AA73" s="105">
        <f t="shared" si="25"/>
        <v>5.5084745762711869</v>
      </c>
      <c r="AB73" s="105">
        <v>6.5</v>
      </c>
      <c r="AC73" s="105">
        <f t="shared" si="12"/>
        <v>0</v>
      </c>
      <c r="AD73" s="105">
        <v>0</v>
      </c>
      <c r="AE73" s="105">
        <f t="shared" si="26"/>
        <v>4.2372881355932206</v>
      </c>
      <c r="AF73" s="105">
        <v>5</v>
      </c>
      <c r="AG73" s="105">
        <f t="shared" si="14"/>
        <v>0</v>
      </c>
      <c r="AH73" s="106">
        <v>0</v>
      </c>
      <c r="AI73" s="105">
        <f t="shared" si="15"/>
        <v>9.3220338983050848</v>
      </c>
      <c r="AJ73" s="105">
        <v>11</v>
      </c>
      <c r="AK73" s="105">
        <f t="shared" si="16"/>
        <v>0</v>
      </c>
      <c r="AL73" s="106">
        <v>0</v>
      </c>
      <c r="AM73" s="105">
        <f t="shared" si="17"/>
        <v>12.711864406779661</v>
      </c>
      <c r="AN73" s="105">
        <v>15</v>
      </c>
      <c r="AO73" s="105">
        <f t="shared" si="18"/>
        <v>0</v>
      </c>
      <c r="AP73" s="105">
        <f t="shared" si="19"/>
        <v>1100.5932203389832</v>
      </c>
      <c r="AQ73" s="105">
        <f t="shared" si="20"/>
        <v>1298.7</v>
      </c>
      <c r="AR73" s="106">
        <v>0</v>
      </c>
      <c r="AS73" s="105" t="s">
        <v>312</v>
      </c>
      <c r="AT73" s="107">
        <v>0</v>
      </c>
      <c r="AU73" s="107">
        <f t="shared" si="40"/>
        <v>5.0847457627118651</v>
      </c>
      <c r="AV73" s="107">
        <v>6</v>
      </c>
      <c r="AW73" s="107">
        <f t="shared" si="27"/>
        <v>0</v>
      </c>
      <c r="AX73" s="107">
        <f t="shared" si="22"/>
        <v>0</v>
      </c>
      <c r="AY73" s="108">
        <f t="shared" si="1"/>
        <v>1100.5932203389832</v>
      </c>
      <c r="AZ73" s="109">
        <f t="shared" si="2"/>
        <v>1298.7</v>
      </c>
      <c r="BA73" s="9"/>
      <c r="BB73" s="9"/>
      <c r="BC73" s="9"/>
      <c r="BD73" s="9"/>
      <c r="BE73" s="45"/>
      <c r="BF73" s="45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</row>
    <row r="74" spans="1:93" s="4" customFormat="1" ht="274.5" outlineLevel="1" x14ac:dyDescent="0.25">
      <c r="A74" s="100">
        <f t="shared" si="74"/>
        <v>54</v>
      </c>
      <c r="B74" s="101" t="s">
        <v>21</v>
      </c>
      <c r="C74" s="102" t="s">
        <v>95</v>
      </c>
      <c r="D74" s="103" t="s">
        <v>19</v>
      </c>
      <c r="E74" s="104">
        <f t="shared" si="23"/>
        <v>8.5</v>
      </c>
      <c r="F74" s="105">
        <v>0</v>
      </c>
      <c r="G74" s="105">
        <f t="shared" si="0"/>
        <v>16.949152542372882</v>
      </c>
      <c r="H74" s="105">
        <v>20</v>
      </c>
      <c r="I74" s="105">
        <f t="shared" si="3"/>
        <v>0</v>
      </c>
      <c r="J74" s="104">
        <v>0</v>
      </c>
      <c r="K74" s="105">
        <f t="shared" si="75"/>
        <v>12.711864406779661</v>
      </c>
      <c r="L74" s="105">
        <v>15</v>
      </c>
      <c r="M74" s="105">
        <f t="shared" si="5"/>
        <v>0</v>
      </c>
      <c r="N74" s="106">
        <v>8.5</v>
      </c>
      <c r="O74" s="105">
        <f t="shared" si="6"/>
        <v>6.6101694915254239</v>
      </c>
      <c r="P74" s="105">
        <v>7.8</v>
      </c>
      <c r="Q74" s="105">
        <f t="shared" si="7"/>
        <v>66.3</v>
      </c>
      <c r="R74" s="104">
        <v>0</v>
      </c>
      <c r="S74" s="105">
        <f t="shared" si="8"/>
        <v>13.220338983050848</v>
      </c>
      <c r="T74" s="105">
        <v>15.6</v>
      </c>
      <c r="U74" s="105">
        <f t="shared" si="9"/>
        <v>0</v>
      </c>
      <c r="V74" s="105">
        <v>0</v>
      </c>
      <c r="W74" s="105">
        <f t="shared" ref="W74:W76" si="76">X74/1.18</f>
        <v>5.9322033898305087</v>
      </c>
      <c r="X74" s="105">
        <v>7</v>
      </c>
      <c r="Y74" s="105">
        <f t="shared" si="10"/>
        <v>0</v>
      </c>
      <c r="Z74" s="104">
        <v>0</v>
      </c>
      <c r="AA74" s="105">
        <f t="shared" si="25"/>
        <v>5.5084745762711869</v>
      </c>
      <c r="AB74" s="105">
        <v>6.5</v>
      </c>
      <c r="AC74" s="105">
        <f t="shared" si="12"/>
        <v>0</v>
      </c>
      <c r="AD74" s="105">
        <v>0</v>
      </c>
      <c r="AE74" s="105">
        <f t="shared" si="26"/>
        <v>4.2372881355932206</v>
      </c>
      <c r="AF74" s="105">
        <v>5</v>
      </c>
      <c r="AG74" s="105">
        <f t="shared" si="14"/>
        <v>0</v>
      </c>
      <c r="AH74" s="106">
        <v>0</v>
      </c>
      <c r="AI74" s="105">
        <f t="shared" si="15"/>
        <v>9.3220338983050848</v>
      </c>
      <c r="AJ74" s="105">
        <v>11</v>
      </c>
      <c r="AK74" s="105">
        <f t="shared" si="16"/>
        <v>0</v>
      </c>
      <c r="AL74" s="106">
        <v>0</v>
      </c>
      <c r="AM74" s="105">
        <f t="shared" si="17"/>
        <v>12.711864406779661</v>
      </c>
      <c r="AN74" s="105">
        <v>15</v>
      </c>
      <c r="AO74" s="105">
        <f t="shared" si="18"/>
        <v>0</v>
      </c>
      <c r="AP74" s="105">
        <f t="shared" si="19"/>
        <v>56.186440677966104</v>
      </c>
      <c r="AQ74" s="105">
        <f t="shared" si="20"/>
        <v>66.3</v>
      </c>
      <c r="AR74" s="106">
        <v>0</v>
      </c>
      <c r="AS74" s="105" t="s">
        <v>312</v>
      </c>
      <c r="AT74" s="107">
        <v>0</v>
      </c>
      <c r="AU74" s="107">
        <f t="shared" si="40"/>
        <v>5.0847457627118651</v>
      </c>
      <c r="AV74" s="107">
        <v>6</v>
      </c>
      <c r="AW74" s="107">
        <f t="shared" si="27"/>
        <v>0</v>
      </c>
      <c r="AX74" s="107">
        <f t="shared" si="22"/>
        <v>0</v>
      </c>
      <c r="AY74" s="108">
        <f t="shared" si="1"/>
        <v>56.186440677966104</v>
      </c>
      <c r="AZ74" s="109">
        <f t="shared" si="2"/>
        <v>66.3</v>
      </c>
      <c r="BA74" s="9"/>
      <c r="BB74" s="9"/>
      <c r="BC74" s="9"/>
      <c r="BD74" s="9"/>
      <c r="BE74" s="45"/>
      <c r="BF74" s="45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</row>
    <row r="75" spans="1:93" s="4" customFormat="1" ht="274.5" outlineLevel="1" x14ac:dyDescent="0.25">
      <c r="A75" s="100">
        <f t="shared" si="74"/>
        <v>55</v>
      </c>
      <c r="B75" s="101" t="s">
        <v>21</v>
      </c>
      <c r="C75" s="102" t="s">
        <v>96</v>
      </c>
      <c r="D75" s="103" t="s">
        <v>19</v>
      </c>
      <c r="E75" s="104">
        <f t="shared" si="23"/>
        <v>24</v>
      </c>
      <c r="F75" s="105">
        <v>0</v>
      </c>
      <c r="G75" s="105">
        <f t="shared" ref="G75:G138" si="77">H75/1.18</f>
        <v>16.949152542372882</v>
      </c>
      <c r="H75" s="105">
        <v>20</v>
      </c>
      <c r="I75" s="105">
        <f t="shared" ref="I75:I143" si="78">H75*F75</f>
        <v>0</v>
      </c>
      <c r="J75" s="104">
        <v>0</v>
      </c>
      <c r="K75" s="105">
        <f t="shared" si="75"/>
        <v>12.711864406779661</v>
      </c>
      <c r="L75" s="105">
        <v>15</v>
      </c>
      <c r="M75" s="105">
        <f t="shared" ref="M75:M143" si="79">L75*J75</f>
        <v>0</v>
      </c>
      <c r="N75" s="106">
        <v>24</v>
      </c>
      <c r="O75" s="105">
        <f t="shared" ref="O75:O143" si="80">P75/1.18</f>
        <v>6.6101694915254239</v>
      </c>
      <c r="P75" s="105">
        <v>7.8</v>
      </c>
      <c r="Q75" s="105">
        <f t="shared" ref="Q75:Q143" si="81">P75*N75</f>
        <v>187.2</v>
      </c>
      <c r="R75" s="104">
        <v>0</v>
      </c>
      <c r="S75" s="105">
        <f t="shared" ref="S75:S143" si="82">T75/1.18</f>
        <v>13.220338983050848</v>
      </c>
      <c r="T75" s="105">
        <v>15.6</v>
      </c>
      <c r="U75" s="105">
        <f t="shared" ref="U75:U143" si="83">T75*R75</f>
        <v>0</v>
      </c>
      <c r="V75" s="105">
        <v>0</v>
      </c>
      <c r="W75" s="105">
        <f t="shared" si="76"/>
        <v>5.9322033898305087</v>
      </c>
      <c r="X75" s="105">
        <v>7</v>
      </c>
      <c r="Y75" s="105">
        <f t="shared" ref="Y75:Y143" si="84">X75*V75</f>
        <v>0</v>
      </c>
      <c r="Z75" s="104">
        <v>0</v>
      </c>
      <c r="AA75" s="105">
        <f t="shared" ref="AA75:AA138" si="85">AB75/1.18</f>
        <v>5.5084745762711869</v>
      </c>
      <c r="AB75" s="105">
        <v>6.5</v>
      </c>
      <c r="AC75" s="105">
        <f t="shared" ref="AC75:AC143" si="86">AB75*Z75</f>
        <v>0</v>
      </c>
      <c r="AD75" s="105">
        <v>0</v>
      </c>
      <c r="AE75" s="105">
        <f t="shared" ref="AE75:AE138" si="87">AF75/1.18</f>
        <v>4.2372881355932206</v>
      </c>
      <c r="AF75" s="105">
        <v>5</v>
      </c>
      <c r="AG75" s="105">
        <f t="shared" ref="AG75:AG143" si="88">AF75*AD75</f>
        <v>0</v>
      </c>
      <c r="AH75" s="106">
        <v>0</v>
      </c>
      <c r="AI75" s="105">
        <f t="shared" ref="AI75:AI138" si="89">AJ75/1.18</f>
        <v>9.3220338983050848</v>
      </c>
      <c r="AJ75" s="105">
        <v>11</v>
      </c>
      <c r="AK75" s="105">
        <f t="shared" ref="AK75:AK143" si="90">AJ75*AH75</f>
        <v>0</v>
      </c>
      <c r="AL75" s="106">
        <v>0</v>
      </c>
      <c r="AM75" s="105">
        <f t="shared" ref="AM75:AM143" si="91">AN75/1.18</f>
        <v>12.711864406779661</v>
      </c>
      <c r="AN75" s="105">
        <v>15</v>
      </c>
      <c r="AO75" s="105">
        <f t="shared" ref="AO75:AO143" si="92">AN75*AL75</f>
        <v>0</v>
      </c>
      <c r="AP75" s="105">
        <f t="shared" si="19"/>
        <v>158.64406779661016</v>
      </c>
      <c r="AQ75" s="105">
        <f t="shared" si="20"/>
        <v>187.2</v>
      </c>
      <c r="AR75" s="106">
        <v>0</v>
      </c>
      <c r="AS75" s="105" t="s">
        <v>312</v>
      </c>
      <c r="AT75" s="107">
        <v>0</v>
      </c>
      <c r="AU75" s="107">
        <f t="shared" si="40"/>
        <v>5.0847457627118651</v>
      </c>
      <c r="AV75" s="107">
        <v>6</v>
      </c>
      <c r="AW75" s="107">
        <f t="shared" si="27"/>
        <v>0</v>
      </c>
      <c r="AX75" s="107">
        <f t="shared" ref="AX75:AX143" si="93">AV75*AR75</f>
        <v>0</v>
      </c>
      <c r="AY75" s="108">
        <f t="shared" si="1"/>
        <v>158.64406779661016</v>
      </c>
      <c r="AZ75" s="109">
        <f t="shared" si="2"/>
        <v>187.2</v>
      </c>
      <c r="BA75" s="9"/>
      <c r="BB75" s="9"/>
      <c r="BC75" s="9"/>
      <c r="BD75" s="9"/>
      <c r="BE75" s="45"/>
      <c r="BF75" s="45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</row>
    <row r="76" spans="1:93" s="4" customFormat="1" ht="274.5" outlineLevel="1" x14ac:dyDescent="0.25">
      <c r="A76" s="100">
        <f t="shared" si="74"/>
        <v>56</v>
      </c>
      <c r="B76" s="101" t="s">
        <v>21</v>
      </c>
      <c r="C76" s="102" t="s">
        <v>97</v>
      </c>
      <c r="D76" s="103" t="s">
        <v>19</v>
      </c>
      <c r="E76" s="104">
        <f t="shared" si="23"/>
        <v>76.699999999999989</v>
      </c>
      <c r="F76" s="105">
        <v>0</v>
      </c>
      <c r="G76" s="105">
        <f t="shared" si="77"/>
        <v>16.949152542372882</v>
      </c>
      <c r="H76" s="105">
        <v>20</v>
      </c>
      <c r="I76" s="105">
        <f t="shared" si="78"/>
        <v>0</v>
      </c>
      <c r="J76" s="104">
        <v>0</v>
      </c>
      <c r="K76" s="105">
        <f t="shared" si="75"/>
        <v>12.711864406779661</v>
      </c>
      <c r="L76" s="105">
        <v>15</v>
      </c>
      <c r="M76" s="105">
        <f t="shared" si="79"/>
        <v>0</v>
      </c>
      <c r="N76" s="106">
        <f>21.4+36.3</f>
        <v>57.699999999999996</v>
      </c>
      <c r="O76" s="105">
        <f t="shared" si="80"/>
        <v>6.6101694915254239</v>
      </c>
      <c r="P76" s="105">
        <v>7.8</v>
      </c>
      <c r="Q76" s="105">
        <f t="shared" si="81"/>
        <v>450.05999999999995</v>
      </c>
      <c r="R76" s="104">
        <v>0</v>
      </c>
      <c r="S76" s="105">
        <f t="shared" si="82"/>
        <v>13.220338983050848</v>
      </c>
      <c r="T76" s="105">
        <v>15.6</v>
      </c>
      <c r="U76" s="105">
        <f t="shared" si="83"/>
        <v>0</v>
      </c>
      <c r="V76" s="105">
        <v>0</v>
      </c>
      <c r="W76" s="105">
        <f t="shared" si="76"/>
        <v>5.9322033898305087</v>
      </c>
      <c r="X76" s="105">
        <v>7</v>
      </c>
      <c r="Y76" s="105">
        <f t="shared" si="84"/>
        <v>0</v>
      </c>
      <c r="Z76" s="104">
        <f>10.4+8.6</f>
        <v>19</v>
      </c>
      <c r="AA76" s="105">
        <f t="shared" si="85"/>
        <v>5.5084745762711869</v>
      </c>
      <c r="AB76" s="105">
        <v>6.5</v>
      </c>
      <c r="AC76" s="105">
        <f t="shared" si="86"/>
        <v>123.5</v>
      </c>
      <c r="AD76" s="105">
        <v>0</v>
      </c>
      <c r="AE76" s="105">
        <f t="shared" si="87"/>
        <v>4.2372881355932206</v>
      </c>
      <c r="AF76" s="105">
        <v>5</v>
      </c>
      <c r="AG76" s="105">
        <f t="shared" si="88"/>
        <v>0</v>
      </c>
      <c r="AH76" s="106">
        <v>0</v>
      </c>
      <c r="AI76" s="105">
        <f t="shared" si="89"/>
        <v>9.3220338983050848</v>
      </c>
      <c r="AJ76" s="105">
        <v>11</v>
      </c>
      <c r="AK76" s="105">
        <f t="shared" si="90"/>
        <v>0</v>
      </c>
      <c r="AL76" s="106">
        <v>0</v>
      </c>
      <c r="AM76" s="105">
        <f t="shared" si="91"/>
        <v>12.711864406779661</v>
      </c>
      <c r="AN76" s="105">
        <v>15</v>
      </c>
      <c r="AO76" s="105">
        <f t="shared" si="92"/>
        <v>0</v>
      </c>
      <c r="AP76" s="105">
        <f t="shared" si="19"/>
        <v>486.06779661016947</v>
      </c>
      <c r="AQ76" s="105">
        <f t="shared" si="20"/>
        <v>573.55999999999995</v>
      </c>
      <c r="AR76" s="106">
        <v>0</v>
      </c>
      <c r="AS76" s="105" t="s">
        <v>312</v>
      </c>
      <c r="AT76" s="107">
        <v>0</v>
      </c>
      <c r="AU76" s="107">
        <f t="shared" si="40"/>
        <v>5.0847457627118651</v>
      </c>
      <c r="AV76" s="107">
        <v>6</v>
      </c>
      <c r="AW76" s="107">
        <f t="shared" ref="AW76:AW144" si="94">AU76*AR76</f>
        <v>0</v>
      </c>
      <c r="AX76" s="107">
        <f t="shared" si="93"/>
        <v>0</v>
      </c>
      <c r="AY76" s="108">
        <f t="shared" si="1"/>
        <v>486.06779661016947</v>
      </c>
      <c r="AZ76" s="109">
        <f t="shared" si="2"/>
        <v>573.55999999999995</v>
      </c>
      <c r="BA76" s="9"/>
      <c r="BB76" s="9"/>
      <c r="BC76" s="9"/>
      <c r="BD76" s="9"/>
      <c r="BE76" s="45"/>
      <c r="BF76" s="45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</row>
    <row r="77" spans="1:93" s="4" customFormat="1" ht="274.5" outlineLevel="1" x14ac:dyDescent="0.25">
      <c r="A77" s="100">
        <f t="shared" si="74"/>
        <v>57</v>
      </c>
      <c r="B77" s="101" t="s">
        <v>21</v>
      </c>
      <c r="C77" s="102" t="s">
        <v>98</v>
      </c>
      <c r="D77" s="103" t="s">
        <v>19</v>
      </c>
      <c r="E77" s="104">
        <f t="shared" si="23"/>
        <v>85</v>
      </c>
      <c r="F77" s="105">
        <v>0</v>
      </c>
      <c r="G77" s="105">
        <f t="shared" si="77"/>
        <v>16.949152542372882</v>
      </c>
      <c r="H77" s="105">
        <v>20</v>
      </c>
      <c r="I77" s="105">
        <f t="shared" si="78"/>
        <v>0</v>
      </c>
      <c r="J77" s="104">
        <f>21.7+12.2</f>
        <v>33.9</v>
      </c>
      <c r="K77" s="105">
        <f t="shared" si="75"/>
        <v>12.711864406779661</v>
      </c>
      <c r="L77" s="105">
        <v>15</v>
      </c>
      <c r="M77" s="105">
        <f t="shared" si="79"/>
        <v>508.5</v>
      </c>
      <c r="N77" s="106">
        <f>40.8-0.3</f>
        <v>40.5</v>
      </c>
      <c r="O77" s="105">
        <f t="shared" si="80"/>
        <v>6.6101694915254239</v>
      </c>
      <c r="P77" s="105">
        <v>7.8</v>
      </c>
      <c r="Q77" s="105">
        <f t="shared" si="81"/>
        <v>315.89999999999998</v>
      </c>
      <c r="R77" s="104">
        <v>0</v>
      </c>
      <c r="S77" s="105">
        <f t="shared" si="82"/>
        <v>13.220338983050848</v>
      </c>
      <c r="T77" s="105">
        <v>15.6</v>
      </c>
      <c r="U77" s="105">
        <f t="shared" si="83"/>
        <v>0</v>
      </c>
      <c r="V77" s="105">
        <v>0</v>
      </c>
      <c r="W77" s="105">
        <v>4.2</v>
      </c>
      <c r="X77" s="105">
        <v>7</v>
      </c>
      <c r="Y77" s="105">
        <f t="shared" si="84"/>
        <v>0</v>
      </c>
      <c r="Z77" s="104">
        <v>10.6</v>
      </c>
      <c r="AA77" s="105">
        <f t="shared" si="85"/>
        <v>5.5084745762711869</v>
      </c>
      <c r="AB77" s="105">
        <v>6.5</v>
      </c>
      <c r="AC77" s="105">
        <f t="shared" si="86"/>
        <v>68.899999999999991</v>
      </c>
      <c r="AD77" s="105">
        <v>0</v>
      </c>
      <c r="AE77" s="105">
        <f t="shared" si="87"/>
        <v>4.2372881355932206</v>
      </c>
      <c r="AF77" s="105">
        <v>5</v>
      </c>
      <c r="AG77" s="105">
        <f t="shared" si="88"/>
        <v>0</v>
      </c>
      <c r="AH77" s="106">
        <v>0</v>
      </c>
      <c r="AI77" s="105">
        <f t="shared" si="89"/>
        <v>9.3220338983050848</v>
      </c>
      <c r="AJ77" s="105">
        <v>11</v>
      </c>
      <c r="AK77" s="105">
        <f t="shared" si="90"/>
        <v>0</v>
      </c>
      <c r="AL77" s="106">
        <v>0</v>
      </c>
      <c r="AM77" s="105">
        <f t="shared" si="91"/>
        <v>12.711864406779661</v>
      </c>
      <c r="AN77" s="105">
        <v>15</v>
      </c>
      <c r="AO77" s="105">
        <f t="shared" si="92"/>
        <v>0</v>
      </c>
      <c r="AP77" s="105">
        <f t="shared" si="19"/>
        <v>757.03389830508479</v>
      </c>
      <c r="AQ77" s="105">
        <f t="shared" si="20"/>
        <v>893.3</v>
      </c>
      <c r="AR77" s="106">
        <v>0</v>
      </c>
      <c r="AS77" s="105" t="s">
        <v>312</v>
      </c>
      <c r="AT77" s="107">
        <v>0</v>
      </c>
      <c r="AU77" s="107">
        <f t="shared" si="40"/>
        <v>5.0847457627118651</v>
      </c>
      <c r="AV77" s="107">
        <v>6</v>
      </c>
      <c r="AW77" s="107">
        <f t="shared" si="94"/>
        <v>0</v>
      </c>
      <c r="AX77" s="107">
        <f t="shared" si="93"/>
        <v>0</v>
      </c>
      <c r="AY77" s="108">
        <f t="shared" ref="AY77:AZ140" si="95">AP77+AW77</f>
        <v>757.03389830508479</v>
      </c>
      <c r="AZ77" s="109">
        <f t="shared" si="95"/>
        <v>893.3</v>
      </c>
      <c r="BA77" s="9"/>
      <c r="BB77" s="9"/>
      <c r="BC77" s="9"/>
      <c r="BD77" s="9"/>
      <c r="BE77" s="45"/>
      <c r="BF77" s="45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</row>
    <row r="78" spans="1:93" s="4" customFormat="1" ht="274.5" outlineLevel="1" x14ac:dyDescent="0.25">
      <c r="A78" s="100">
        <f t="shared" si="74"/>
        <v>58</v>
      </c>
      <c r="B78" s="101" t="s">
        <v>21</v>
      </c>
      <c r="C78" s="134" t="s">
        <v>279</v>
      </c>
      <c r="D78" s="135"/>
      <c r="E78" s="104">
        <f t="shared" si="23"/>
        <v>12</v>
      </c>
      <c r="F78" s="105">
        <v>0</v>
      </c>
      <c r="G78" s="105">
        <f t="shared" ref="G78:G79" si="96">H78/1.18</f>
        <v>16.949152542372882</v>
      </c>
      <c r="H78" s="105">
        <v>20</v>
      </c>
      <c r="I78" s="105">
        <f t="shared" ref="I78:I79" si="97">H78*F78</f>
        <v>0</v>
      </c>
      <c r="J78" s="104">
        <v>0</v>
      </c>
      <c r="K78" s="105">
        <f t="shared" ref="K78:K79" si="98">L78/1.18</f>
        <v>12.711864406779661</v>
      </c>
      <c r="L78" s="105">
        <v>15</v>
      </c>
      <c r="M78" s="105">
        <f t="shared" ref="M78:M79" si="99">L78*J78</f>
        <v>0</v>
      </c>
      <c r="N78" s="106">
        <v>12</v>
      </c>
      <c r="O78" s="105">
        <f t="shared" ref="O78:O79" si="100">P78/1.18</f>
        <v>6.6101694915254239</v>
      </c>
      <c r="P78" s="105">
        <v>7.8</v>
      </c>
      <c r="Q78" s="105">
        <f t="shared" ref="Q78:Q79" si="101">P78*N78</f>
        <v>93.6</v>
      </c>
      <c r="R78" s="104">
        <v>0</v>
      </c>
      <c r="S78" s="105">
        <f t="shared" ref="S78:S79" si="102">T78/1.18</f>
        <v>13.220338983050848</v>
      </c>
      <c r="T78" s="105">
        <v>15.6</v>
      </c>
      <c r="U78" s="105">
        <f t="shared" ref="U78:U79" si="103">T78*R78</f>
        <v>0</v>
      </c>
      <c r="V78" s="105">
        <v>0</v>
      </c>
      <c r="W78" s="105">
        <f t="shared" ref="W78" si="104">X78/1.18</f>
        <v>5.9322033898305087</v>
      </c>
      <c r="X78" s="105">
        <v>7</v>
      </c>
      <c r="Y78" s="105">
        <f t="shared" ref="Y78:Y79" si="105">X78*V78</f>
        <v>0</v>
      </c>
      <c r="Z78" s="104">
        <v>0</v>
      </c>
      <c r="AA78" s="105">
        <f t="shared" ref="AA78:AA79" si="106">AB78/1.18</f>
        <v>5.5084745762711869</v>
      </c>
      <c r="AB78" s="105">
        <v>6.5</v>
      </c>
      <c r="AC78" s="105">
        <f t="shared" ref="AC78:AC79" si="107">AB78*Z78</f>
        <v>0</v>
      </c>
      <c r="AD78" s="105">
        <v>0</v>
      </c>
      <c r="AE78" s="105">
        <f t="shared" ref="AE78:AE79" si="108">AF78/1.18</f>
        <v>4.2372881355932206</v>
      </c>
      <c r="AF78" s="105">
        <v>5</v>
      </c>
      <c r="AG78" s="105">
        <f t="shared" ref="AG78:AG79" si="109">AF78*AD78</f>
        <v>0</v>
      </c>
      <c r="AH78" s="106">
        <v>0</v>
      </c>
      <c r="AI78" s="105">
        <f t="shared" ref="AI78:AI79" si="110">AJ78/1.18</f>
        <v>9.3220338983050848</v>
      </c>
      <c r="AJ78" s="105">
        <v>11</v>
      </c>
      <c r="AK78" s="105">
        <f t="shared" ref="AK78:AK79" si="111">AJ78*AH78</f>
        <v>0</v>
      </c>
      <c r="AL78" s="106">
        <v>0</v>
      </c>
      <c r="AM78" s="105">
        <f t="shared" ref="AM78:AM79" si="112">AN78/1.18</f>
        <v>12.711864406779661</v>
      </c>
      <c r="AN78" s="105">
        <v>15</v>
      </c>
      <c r="AO78" s="105">
        <f t="shared" ref="AO78:AO79" si="113">AN78*AL78</f>
        <v>0</v>
      </c>
      <c r="AP78" s="105">
        <f t="shared" ref="AP78:AP141" si="114">AQ78/1.18</f>
        <v>79.322033898305079</v>
      </c>
      <c r="AQ78" s="105">
        <f t="shared" ref="AQ78:AQ141" si="115">I78+M78+Q78+U78+Y78+AC78+AG78+AK78+AO78</f>
        <v>93.6</v>
      </c>
      <c r="AR78" s="106">
        <v>0</v>
      </c>
      <c r="AS78" s="105" t="s">
        <v>312</v>
      </c>
      <c r="AT78" s="107">
        <v>0</v>
      </c>
      <c r="AU78" s="107">
        <f t="shared" ref="AU78:AU79" si="116">AV78/1.18</f>
        <v>5.0847457627118651</v>
      </c>
      <c r="AV78" s="107">
        <v>6</v>
      </c>
      <c r="AW78" s="107">
        <f t="shared" ref="AW78:AW79" si="117">AU78*AR78</f>
        <v>0</v>
      </c>
      <c r="AX78" s="107">
        <f t="shared" ref="AX78:AX79" si="118">AV78*AR78</f>
        <v>0</v>
      </c>
      <c r="AY78" s="108">
        <f t="shared" si="95"/>
        <v>79.322033898305079</v>
      </c>
      <c r="AZ78" s="109">
        <f t="shared" si="95"/>
        <v>93.6</v>
      </c>
      <c r="BA78" s="9"/>
      <c r="BB78" s="9"/>
      <c r="BC78" s="9"/>
      <c r="BD78" s="9"/>
      <c r="BE78" s="45"/>
      <c r="BF78" s="45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</row>
    <row r="79" spans="1:93" s="4" customFormat="1" ht="183" outlineLevel="1" x14ac:dyDescent="0.25">
      <c r="A79" s="100">
        <f t="shared" si="74"/>
        <v>59</v>
      </c>
      <c r="B79" s="101" t="s">
        <v>21</v>
      </c>
      <c r="C79" s="134" t="s">
        <v>280</v>
      </c>
      <c r="D79" s="135"/>
      <c r="E79" s="104">
        <f t="shared" ref="E79:E142" si="119">F79+J79+N79+R79+V79+Z79+AD79+AH79+AL79</f>
        <v>12</v>
      </c>
      <c r="F79" s="105">
        <v>0</v>
      </c>
      <c r="G79" s="105">
        <f t="shared" si="96"/>
        <v>16.949152542372882</v>
      </c>
      <c r="H79" s="105">
        <v>20</v>
      </c>
      <c r="I79" s="105">
        <f t="shared" si="97"/>
        <v>0</v>
      </c>
      <c r="J79" s="104">
        <v>0</v>
      </c>
      <c r="K79" s="105">
        <f t="shared" si="98"/>
        <v>12.711864406779661</v>
      </c>
      <c r="L79" s="105">
        <v>15</v>
      </c>
      <c r="M79" s="105">
        <f t="shared" si="99"/>
        <v>0</v>
      </c>
      <c r="N79" s="106">
        <v>12</v>
      </c>
      <c r="O79" s="105">
        <f t="shared" si="100"/>
        <v>6.6101694915254239</v>
      </c>
      <c r="P79" s="105">
        <v>7.8</v>
      </c>
      <c r="Q79" s="105">
        <f t="shared" si="101"/>
        <v>93.6</v>
      </c>
      <c r="R79" s="104">
        <v>0</v>
      </c>
      <c r="S79" s="105">
        <f t="shared" si="102"/>
        <v>13.220338983050848</v>
      </c>
      <c r="T79" s="105">
        <v>15.6</v>
      </c>
      <c r="U79" s="105">
        <f t="shared" si="103"/>
        <v>0</v>
      </c>
      <c r="V79" s="105">
        <v>0</v>
      </c>
      <c r="W79" s="105">
        <v>4.2</v>
      </c>
      <c r="X79" s="105">
        <v>7</v>
      </c>
      <c r="Y79" s="105">
        <f t="shared" si="105"/>
        <v>0</v>
      </c>
      <c r="Z79" s="104">
        <v>0</v>
      </c>
      <c r="AA79" s="105">
        <f t="shared" si="106"/>
        <v>5.5084745762711869</v>
      </c>
      <c r="AB79" s="105">
        <v>6.5</v>
      </c>
      <c r="AC79" s="105">
        <f t="shared" si="107"/>
        <v>0</v>
      </c>
      <c r="AD79" s="105">
        <v>0</v>
      </c>
      <c r="AE79" s="105">
        <f t="shared" si="108"/>
        <v>4.2372881355932206</v>
      </c>
      <c r="AF79" s="105">
        <v>5</v>
      </c>
      <c r="AG79" s="105">
        <f t="shared" si="109"/>
        <v>0</v>
      </c>
      <c r="AH79" s="106">
        <v>0</v>
      </c>
      <c r="AI79" s="105">
        <f t="shared" si="110"/>
        <v>9.3220338983050848</v>
      </c>
      <c r="AJ79" s="105">
        <v>11</v>
      </c>
      <c r="AK79" s="105">
        <f t="shared" si="111"/>
        <v>0</v>
      </c>
      <c r="AL79" s="106">
        <v>0</v>
      </c>
      <c r="AM79" s="105">
        <f t="shared" si="112"/>
        <v>12.711864406779661</v>
      </c>
      <c r="AN79" s="105">
        <v>15</v>
      </c>
      <c r="AO79" s="105">
        <f t="shared" si="113"/>
        <v>0</v>
      </c>
      <c r="AP79" s="105">
        <f t="shared" si="114"/>
        <v>79.322033898305079</v>
      </c>
      <c r="AQ79" s="105">
        <f t="shared" si="115"/>
        <v>93.6</v>
      </c>
      <c r="AR79" s="106">
        <v>0</v>
      </c>
      <c r="AS79" s="105" t="s">
        <v>312</v>
      </c>
      <c r="AT79" s="107">
        <v>0</v>
      </c>
      <c r="AU79" s="107">
        <f t="shared" si="116"/>
        <v>5.0847457627118651</v>
      </c>
      <c r="AV79" s="107">
        <v>6</v>
      </c>
      <c r="AW79" s="107">
        <f t="shared" si="117"/>
        <v>0</v>
      </c>
      <c r="AX79" s="107">
        <f t="shared" si="118"/>
        <v>0</v>
      </c>
      <c r="AY79" s="108">
        <f t="shared" si="95"/>
        <v>79.322033898305079</v>
      </c>
      <c r="AZ79" s="109">
        <f t="shared" si="95"/>
        <v>93.6</v>
      </c>
      <c r="BA79" s="9"/>
      <c r="BB79" s="9"/>
      <c r="BC79" s="9"/>
      <c r="BD79" s="9"/>
      <c r="BE79" s="45"/>
      <c r="BF79" s="45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</row>
    <row r="80" spans="1:93" s="60" customFormat="1" ht="45.75" outlineLevel="1" x14ac:dyDescent="0.25">
      <c r="A80" s="149" t="s">
        <v>233</v>
      </c>
      <c r="B80" s="150"/>
      <c r="C80" s="150"/>
      <c r="D80" s="133"/>
      <c r="E80" s="104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11"/>
      <c r="AQ80" s="111"/>
      <c r="AR80" s="133"/>
      <c r="AS80" s="105"/>
      <c r="AT80" s="133"/>
      <c r="AU80" s="133"/>
      <c r="AV80" s="133"/>
      <c r="AW80" s="133"/>
      <c r="AX80" s="133"/>
      <c r="AY80" s="111"/>
      <c r="AZ80" s="130"/>
      <c r="BB80" s="9"/>
      <c r="BC80" s="9"/>
      <c r="BD80" s="9"/>
      <c r="BE80" s="9"/>
      <c r="BF80" s="9"/>
    </row>
    <row r="81" spans="1:93" s="4" customFormat="1" ht="183" outlineLevel="1" x14ac:dyDescent="0.25">
      <c r="A81" s="100">
        <f>A79+1</f>
        <v>60</v>
      </c>
      <c r="B81" s="101" t="s">
        <v>269</v>
      </c>
      <c r="C81" s="102" t="s">
        <v>99</v>
      </c>
      <c r="D81" s="103" t="s">
        <v>19</v>
      </c>
      <c r="E81" s="104">
        <f t="shared" si="119"/>
        <v>1124.7</v>
      </c>
      <c r="F81" s="105">
        <v>0</v>
      </c>
      <c r="G81" s="105">
        <f t="shared" si="77"/>
        <v>16.949152542372882</v>
      </c>
      <c r="H81" s="105">
        <v>20</v>
      </c>
      <c r="I81" s="105">
        <f t="shared" si="78"/>
        <v>0</v>
      </c>
      <c r="J81" s="104">
        <f>95.8</f>
        <v>95.8</v>
      </c>
      <c r="K81" s="105">
        <f t="shared" si="75"/>
        <v>12.711864406779661</v>
      </c>
      <c r="L81" s="105">
        <v>15</v>
      </c>
      <c r="M81" s="105">
        <f t="shared" si="79"/>
        <v>1437</v>
      </c>
      <c r="N81" s="106">
        <f>329.3+59.2+294.2</f>
        <v>682.7</v>
      </c>
      <c r="O81" s="105">
        <f t="shared" si="80"/>
        <v>6.6101694915254239</v>
      </c>
      <c r="P81" s="105">
        <v>7.8</v>
      </c>
      <c r="Q81" s="105">
        <f t="shared" si="81"/>
        <v>5325.06</v>
      </c>
      <c r="R81" s="104">
        <v>0</v>
      </c>
      <c r="S81" s="105">
        <f t="shared" si="82"/>
        <v>13.220338983050848</v>
      </c>
      <c r="T81" s="105">
        <v>15.6</v>
      </c>
      <c r="U81" s="105">
        <f t="shared" si="83"/>
        <v>0</v>
      </c>
      <c r="V81" s="105">
        <f>6.5+55</f>
        <v>61.5</v>
      </c>
      <c r="W81" s="105">
        <f t="shared" ref="W81:W82" si="120">X81/1.18</f>
        <v>5.9322033898305087</v>
      </c>
      <c r="X81" s="105">
        <v>7</v>
      </c>
      <c r="Y81" s="105">
        <f t="shared" si="84"/>
        <v>430.5</v>
      </c>
      <c r="Z81" s="104">
        <f>90.4+5+52+12+48.1</f>
        <v>207.5</v>
      </c>
      <c r="AA81" s="105">
        <f t="shared" si="85"/>
        <v>5.5084745762711869</v>
      </c>
      <c r="AB81" s="105">
        <v>6.5</v>
      </c>
      <c r="AC81" s="105">
        <f t="shared" si="86"/>
        <v>1348.75</v>
      </c>
      <c r="AD81" s="104">
        <f>SUM(AD82:AD98)</f>
        <v>0</v>
      </c>
      <c r="AE81" s="105">
        <f t="shared" si="87"/>
        <v>4.2372881355932206</v>
      </c>
      <c r="AF81" s="105">
        <v>5</v>
      </c>
      <c r="AG81" s="105">
        <f t="shared" si="88"/>
        <v>0</v>
      </c>
      <c r="AH81" s="106">
        <v>0</v>
      </c>
      <c r="AI81" s="105">
        <f t="shared" si="89"/>
        <v>9.3220338983050848</v>
      </c>
      <c r="AJ81" s="105">
        <v>11</v>
      </c>
      <c r="AK81" s="105">
        <f t="shared" si="90"/>
        <v>0</v>
      </c>
      <c r="AL81" s="106">
        <v>77.2</v>
      </c>
      <c r="AM81" s="105">
        <f t="shared" si="91"/>
        <v>12.711864406779661</v>
      </c>
      <c r="AN81" s="105">
        <v>15</v>
      </c>
      <c r="AO81" s="105">
        <f t="shared" si="92"/>
        <v>1158</v>
      </c>
      <c r="AP81" s="105">
        <f t="shared" si="114"/>
        <v>8219.754237288138</v>
      </c>
      <c r="AQ81" s="105">
        <f t="shared" si="115"/>
        <v>9699.3100000000013</v>
      </c>
      <c r="AR81" s="106">
        <f>1516+6</f>
        <v>1522</v>
      </c>
      <c r="AS81" s="105" t="s">
        <v>312</v>
      </c>
      <c r="AT81" s="107">
        <v>0</v>
      </c>
      <c r="AU81" s="107">
        <f t="shared" ref="AU81:AU138" si="121">AV81/1.18</f>
        <v>5.0847457627118651</v>
      </c>
      <c r="AV81" s="107">
        <v>6</v>
      </c>
      <c r="AW81" s="107">
        <f t="shared" si="94"/>
        <v>7738.9830508474588</v>
      </c>
      <c r="AX81" s="107">
        <f t="shared" si="93"/>
        <v>9132</v>
      </c>
      <c r="AY81" s="108">
        <f t="shared" si="95"/>
        <v>15958.737288135597</v>
      </c>
      <c r="AZ81" s="109">
        <f t="shared" si="95"/>
        <v>18831.310000000001</v>
      </c>
      <c r="BA81" s="9"/>
      <c r="BB81" s="9"/>
      <c r="BC81" s="9"/>
      <c r="BD81" s="9"/>
      <c r="BE81" s="45"/>
      <c r="BF81" s="45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</row>
    <row r="82" spans="1:93" s="4" customFormat="1" ht="183" outlineLevel="1" x14ac:dyDescent="0.25">
      <c r="A82" s="100">
        <f>A81+1</f>
        <v>61</v>
      </c>
      <c r="B82" s="101" t="s">
        <v>252</v>
      </c>
      <c r="C82" s="102" t="s">
        <v>100</v>
      </c>
      <c r="D82" s="103" t="s">
        <v>19</v>
      </c>
      <c r="E82" s="104">
        <f t="shared" si="119"/>
        <v>1298</v>
      </c>
      <c r="F82" s="105">
        <v>0</v>
      </c>
      <c r="G82" s="105">
        <f t="shared" si="77"/>
        <v>16.949152542372882</v>
      </c>
      <c r="H82" s="105">
        <v>20</v>
      </c>
      <c r="I82" s="105">
        <f t="shared" si="78"/>
        <v>0</v>
      </c>
      <c r="J82" s="104">
        <f>85.1+65+185.4+62.5+56.3</f>
        <v>454.3</v>
      </c>
      <c r="K82" s="105">
        <f t="shared" si="75"/>
        <v>12.711864406779661</v>
      </c>
      <c r="L82" s="105">
        <v>15</v>
      </c>
      <c r="M82" s="105">
        <f t="shared" ref="M82:M85" si="122">L82*J82</f>
        <v>6814.5</v>
      </c>
      <c r="N82" s="106">
        <v>297.8</v>
      </c>
      <c r="O82" s="105">
        <f t="shared" ref="O82:O86" si="123">P82/1.18</f>
        <v>6.6101694915254239</v>
      </c>
      <c r="P82" s="105">
        <v>7.8</v>
      </c>
      <c r="Q82" s="105">
        <f t="shared" ref="Q82:Q86" si="124">P82*N82</f>
        <v>2322.84</v>
      </c>
      <c r="R82" s="104">
        <f>63+64.1</f>
        <v>127.1</v>
      </c>
      <c r="S82" s="105">
        <f t="shared" ref="S82:S84" si="125">T82/1.18</f>
        <v>13.220338983050848</v>
      </c>
      <c r="T82" s="105">
        <v>15.6</v>
      </c>
      <c r="U82" s="105">
        <f t="shared" ref="U82:U84" si="126">T82*R82</f>
        <v>1982.7599999999998</v>
      </c>
      <c r="V82" s="105">
        <f>30.3+10+1</f>
        <v>41.3</v>
      </c>
      <c r="W82" s="105">
        <f t="shared" si="120"/>
        <v>5.9322033898305087</v>
      </c>
      <c r="X82" s="105">
        <v>7</v>
      </c>
      <c r="Y82" s="105">
        <f t="shared" ref="Y82:Y85" si="127">X82*V82</f>
        <v>289.09999999999997</v>
      </c>
      <c r="Z82" s="104">
        <f>101.9+74.9+11.5+32.7+91.9+35.1+8.1</f>
        <v>356.1</v>
      </c>
      <c r="AA82" s="105">
        <f t="shared" si="85"/>
        <v>5.5084745762711869</v>
      </c>
      <c r="AB82" s="105">
        <v>6.5</v>
      </c>
      <c r="AC82" s="105">
        <f t="shared" ref="AC82:AC85" si="128">AB82*Z82</f>
        <v>2314.65</v>
      </c>
      <c r="AD82" s="105">
        <v>0</v>
      </c>
      <c r="AE82" s="105">
        <f t="shared" si="87"/>
        <v>4.2372881355932206</v>
      </c>
      <c r="AF82" s="105">
        <v>5</v>
      </c>
      <c r="AG82" s="105">
        <f t="shared" ref="AG82:AG85" si="129">AF82*AD82</f>
        <v>0</v>
      </c>
      <c r="AH82" s="106">
        <v>0</v>
      </c>
      <c r="AI82" s="105">
        <f t="shared" si="89"/>
        <v>9.3220338983050848</v>
      </c>
      <c r="AJ82" s="105">
        <v>11</v>
      </c>
      <c r="AK82" s="105">
        <f t="shared" ref="AK82:AK98" si="130">AJ82*AH82</f>
        <v>0</v>
      </c>
      <c r="AL82" s="106">
        <v>21.4</v>
      </c>
      <c r="AM82" s="105">
        <f t="shared" ref="AM82:AM85" si="131">AN82/1.18</f>
        <v>12.711864406779661</v>
      </c>
      <c r="AN82" s="105">
        <v>15</v>
      </c>
      <c r="AO82" s="105">
        <f t="shared" ref="AO82:AO85" si="132">AN82*AL82</f>
        <v>321</v>
      </c>
      <c r="AP82" s="105">
        <f t="shared" si="114"/>
        <v>11902.415254237289</v>
      </c>
      <c r="AQ82" s="105">
        <f t="shared" si="115"/>
        <v>14044.85</v>
      </c>
      <c r="AR82" s="106">
        <f>1472.6+63</f>
        <v>1535.6</v>
      </c>
      <c r="AS82" s="105" t="s">
        <v>312</v>
      </c>
      <c r="AT82" s="107">
        <v>0</v>
      </c>
      <c r="AU82" s="107">
        <f t="shared" si="121"/>
        <v>5.0847457627118651</v>
      </c>
      <c r="AV82" s="107">
        <v>6</v>
      </c>
      <c r="AW82" s="107">
        <f t="shared" ref="AW82:AW84" si="133">AU82*AR82</f>
        <v>7808.1355932203396</v>
      </c>
      <c r="AX82" s="107">
        <f t="shared" ref="AX82:AX84" si="134">AV82*AR82</f>
        <v>9213.5999999999985</v>
      </c>
      <c r="AY82" s="108">
        <f t="shared" si="95"/>
        <v>19710.550847457627</v>
      </c>
      <c r="AZ82" s="109">
        <f t="shared" si="95"/>
        <v>23258.449999999997</v>
      </c>
      <c r="BA82" s="9"/>
      <c r="BB82" s="9"/>
      <c r="BC82" s="9"/>
      <c r="BD82" s="9"/>
      <c r="BE82" s="45"/>
      <c r="BF82" s="45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</row>
    <row r="83" spans="1:93" s="4" customFormat="1" ht="183" outlineLevel="1" x14ac:dyDescent="0.25">
      <c r="A83" s="100">
        <f t="shared" ref="A83:A98" si="135">A82+1</f>
        <v>62</v>
      </c>
      <c r="B83" s="101" t="s">
        <v>21</v>
      </c>
      <c r="C83" s="102" t="s">
        <v>101</v>
      </c>
      <c r="D83" s="103" t="s">
        <v>19</v>
      </c>
      <c r="E83" s="104">
        <f t="shared" si="119"/>
        <v>228.4</v>
      </c>
      <c r="F83" s="105">
        <v>0</v>
      </c>
      <c r="G83" s="105">
        <f t="shared" si="77"/>
        <v>16.949152542372882</v>
      </c>
      <c r="H83" s="105">
        <v>20</v>
      </c>
      <c r="I83" s="105">
        <f t="shared" ref="I83:I85" si="136">H83*F83</f>
        <v>0</v>
      </c>
      <c r="J83" s="104">
        <f>35.1+14.2</f>
        <v>49.3</v>
      </c>
      <c r="K83" s="105">
        <f t="shared" si="75"/>
        <v>12.711864406779661</v>
      </c>
      <c r="L83" s="105">
        <v>15</v>
      </c>
      <c r="M83" s="105">
        <f t="shared" si="122"/>
        <v>739.5</v>
      </c>
      <c r="N83" s="106">
        <f>5+42.7+3.8</f>
        <v>51.5</v>
      </c>
      <c r="O83" s="105">
        <f t="shared" si="123"/>
        <v>6.6101694915254239</v>
      </c>
      <c r="P83" s="105">
        <v>7.8</v>
      </c>
      <c r="Q83" s="105">
        <f t="shared" si="124"/>
        <v>401.7</v>
      </c>
      <c r="R83" s="104">
        <v>0</v>
      </c>
      <c r="S83" s="105">
        <f t="shared" si="125"/>
        <v>13.220338983050848</v>
      </c>
      <c r="T83" s="105">
        <v>15.6</v>
      </c>
      <c r="U83" s="105">
        <f t="shared" si="126"/>
        <v>0</v>
      </c>
      <c r="V83" s="105">
        <v>4.9000000000000004</v>
      </c>
      <c r="W83" s="105">
        <v>4.2</v>
      </c>
      <c r="X83" s="105">
        <v>7</v>
      </c>
      <c r="Y83" s="105">
        <f t="shared" si="127"/>
        <v>34.300000000000004</v>
      </c>
      <c r="Z83" s="104">
        <f>80.5+42.2</f>
        <v>122.7</v>
      </c>
      <c r="AA83" s="105">
        <f t="shared" si="85"/>
        <v>5.5084745762711869</v>
      </c>
      <c r="AB83" s="105">
        <v>6.5</v>
      </c>
      <c r="AC83" s="105">
        <f t="shared" si="128"/>
        <v>797.55000000000007</v>
      </c>
      <c r="AD83" s="105">
        <v>0</v>
      </c>
      <c r="AE83" s="105">
        <f t="shared" si="87"/>
        <v>4.2372881355932206</v>
      </c>
      <c r="AF83" s="105">
        <v>5</v>
      </c>
      <c r="AG83" s="105">
        <f t="shared" si="129"/>
        <v>0</v>
      </c>
      <c r="AH83" s="106">
        <v>0</v>
      </c>
      <c r="AI83" s="105">
        <f t="shared" si="89"/>
        <v>9.3220338983050848</v>
      </c>
      <c r="AJ83" s="105">
        <v>11</v>
      </c>
      <c r="AK83" s="105">
        <f t="shared" si="130"/>
        <v>0</v>
      </c>
      <c r="AL83" s="106">
        <v>0</v>
      </c>
      <c r="AM83" s="105">
        <f t="shared" si="131"/>
        <v>12.711864406779661</v>
      </c>
      <c r="AN83" s="105">
        <v>15</v>
      </c>
      <c r="AO83" s="105">
        <f t="shared" si="132"/>
        <v>0</v>
      </c>
      <c r="AP83" s="105">
        <f t="shared" si="114"/>
        <v>1672.0762711864409</v>
      </c>
      <c r="AQ83" s="105">
        <f t="shared" si="115"/>
        <v>1973.0500000000002</v>
      </c>
      <c r="AR83" s="106">
        <f>531.4+12</f>
        <v>543.4</v>
      </c>
      <c r="AS83" s="105" t="s">
        <v>312</v>
      </c>
      <c r="AT83" s="107">
        <v>0</v>
      </c>
      <c r="AU83" s="107">
        <f t="shared" si="121"/>
        <v>5.0847457627118651</v>
      </c>
      <c r="AV83" s="107">
        <v>6</v>
      </c>
      <c r="AW83" s="107">
        <f t="shared" si="133"/>
        <v>2763.0508474576272</v>
      </c>
      <c r="AX83" s="107">
        <f t="shared" si="134"/>
        <v>3260.3999999999996</v>
      </c>
      <c r="AY83" s="108">
        <f t="shared" si="95"/>
        <v>4435.1271186440681</v>
      </c>
      <c r="AZ83" s="109">
        <f t="shared" si="95"/>
        <v>5233.45</v>
      </c>
      <c r="BA83" s="9"/>
      <c r="BB83" s="9"/>
      <c r="BC83" s="9"/>
      <c r="BD83" s="9"/>
      <c r="BE83" s="45"/>
      <c r="BF83" s="45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</row>
    <row r="84" spans="1:93" s="4" customFormat="1" ht="274.5" outlineLevel="1" x14ac:dyDescent="0.25">
      <c r="A84" s="100">
        <f t="shared" si="135"/>
        <v>63</v>
      </c>
      <c r="B84" s="101" t="s">
        <v>21</v>
      </c>
      <c r="C84" s="102" t="s">
        <v>102</v>
      </c>
      <c r="D84" s="103" t="s">
        <v>19</v>
      </c>
      <c r="E84" s="104">
        <f t="shared" si="119"/>
        <v>53.6</v>
      </c>
      <c r="F84" s="105">
        <v>0</v>
      </c>
      <c r="G84" s="105">
        <f t="shared" si="77"/>
        <v>16.949152542372882</v>
      </c>
      <c r="H84" s="105">
        <v>20</v>
      </c>
      <c r="I84" s="105">
        <f t="shared" si="136"/>
        <v>0</v>
      </c>
      <c r="J84" s="104">
        <v>0</v>
      </c>
      <c r="K84" s="105">
        <f t="shared" si="75"/>
        <v>12.711864406779661</v>
      </c>
      <c r="L84" s="105">
        <v>15</v>
      </c>
      <c r="M84" s="105">
        <f t="shared" si="122"/>
        <v>0</v>
      </c>
      <c r="N84" s="106">
        <f>3.9+7.9+14.5+6.3</f>
        <v>32.6</v>
      </c>
      <c r="O84" s="105">
        <f t="shared" si="123"/>
        <v>6.6101694915254239</v>
      </c>
      <c r="P84" s="105">
        <v>7.8</v>
      </c>
      <c r="Q84" s="105">
        <f t="shared" si="124"/>
        <v>254.28</v>
      </c>
      <c r="R84" s="104">
        <f>20.1+0.9</f>
        <v>21</v>
      </c>
      <c r="S84" s="105">
        <f t="shared" si="125"/>
        <v>13.220338983050848</v>
      </c>
      <c r="T84" s="105">
        <v>15.6</v>
      </c>
      <c r="U84" s="105">
        <f t="shared" si="126"/>
        <v>327.59999999999997</v>
      </c>
      <c r="V84" s="105">
        <v>0</v>
      </c>
      <c r="W84" s="105">
        <f t="shared" ref="W84:W86" si="137">X84/1.18</f>
        <v>5.9322033898305087</v>
      </c>
      <c r="X84" s="105">
        <v>7</v>
      </c>
      <c r="Y84" s="105">
        <f t="shared" si="127"/>
        <v>0</v>
      </c>
      <c r="Z84" s="104">
        <v>0</v>
      </c>
      <c r="AA84" s="105">
        <f t="shared" si="85"/>
        <v>5.5084745762711869</v>
      </c>
      <c r="AB84" s="105">
        <v>6.5</v>
      </c>
      <c r="AC84" s="105">
        <f t="shared" si="128"/>
        <v>0</v>
      </c>
      <c r="AD84" s="105">
        <v>0</v>
      </c>
      <c r="AE84" s="105">
        <f t="shared" si="87"/>
        <v>4.2372881355932206</v>
      </c>
      <c r="AF84" s="105">
        <v>5</v>
      </c>
      <c r="AG84" s="105">
        <f t="shared" si="129"/>
        <v>0</v>
      </c>
      <c r="AH84" s="106">
        <v>0</v>
      </c>
      <c r="AI84" s="105">
        <f t="shared" si="89"/>
        <v>9.3220338983050848</v>
      </c>
      <c r="AJ84" s="105">
        <v>11</v>
      </c>
      <c r="AK84" s="105">
        <f t="shared" si="130"/>
        <v>0</v>
      </c>
      <c r="AL84" s="106">
        <v>0</v>
      </c>
      <c r="AM84" s="105">
        <f t="shared" si="131"/>
        <v>12.711864406779661</v>
      </c>
      <c r="AN84" s="105">
        <v>15</v>
      </c>
      <c r="AO84" s="105">
        <f t="shared" si="132"/>
        <v>0</v>
      </c>
      <c r="AP84" s="105">
        <f t="shared" si="114"/>
        <v>493.11864406779665</v>
      </c>
      <c r="AQ84" s="105">
        <f t="shared" si="115"/>
        <v>581.88</v>
      </c>
      <c r="AR84" s="106">
        <f>1212.9+6</f>
        <v>1218.9000000000001</v>
      </c>
      <c r="AS84" s="105" t="s">
        <v>312</v>
      </c>
      <c r="AT84" s="107">
        <v>0</v>
      </c>
      <c r="AU84" s="107">
        <f t="shared" si="121"/>
        <v>5.0847457627118651</v>
      </c>
      <c r="AV84" s="107">
        <v>6</v>
      </c>
      <c r="AW84" s="107">
        <f t="shared" si="133"/>
        <v>6197.7966101694929</v>
      </c>
      <c r="AX84" s="107">
        <f t="shared" si="134"/>
        <v>7313.4000000000005</v>
      </c>
      <c r="AY84" s="108">
        <f t="shared" si="95"/>
        <v>6690.9152542372894</v>
      </c>
      <c r="AZ84" s="109">
        <f t="shared" si="95"/>
        <v>7895.2800000000007</v>
      </c>
      <c r="BA84" s="9"/>
      <c r="BB84" s="9"/>
      <c r="BC84" s="9"/>
      <c r="BD84" s="9"/>
      <c r="BE84" s="45"/>
      <c r="BF84" s="45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</row>
    <row r="85" spans="1:93" s="4" customFormat="1" ht="274.5" outlineLevel="1" x14ac:dyDescent="0.25">
      <c r="A85" s="100">
        <f t="shared" si="135"/>
        <v>64</v>
      </c>
      <c r="B85" s="101" t="s">
        <v>21</v>
      </c>
      <c r="C85" s="102" t="s">
        <v>103</v>
      </c>
      <c r="D85" s="103" t="s">
        <v>19</v>
      </c>
      <c r="E85" s="104">
        <f t="shared" si="119"/>
        <v>123.00000000000001</v>
      </c>
      <c r="F85" s="105">
        <v>0</v>
      </c>
      <c r="G85" s="105">
        <f t="shared" si="77"/>
        <v>16.949152542372882</v>
      </c>
      <c r="H85" s="105">
        <v>20</v>
      </c>
      <c r="I85" s="105">
        <f t="shared" si="136"/>
        <v>0</v>
      </c>
      <c r="J85" s="104">
        <v>0</v>
      </c>
      <c r="K85" s="105">
        <f t="shared" si="75"/>
        <v>12.711864406779661</v>
      </c>
      <c r="L85" s="105">
        <v>15</v>
      </c>
      <c r="M85" s="105">
        <f t="shared" si="122"/>
        <v>0</v>
      </c>
      <c r="N85" s="106">
        <f>18.2+4.7+17.8+14.6+16+18.4+13.1</f>
        <v>102.80000000000001</v>
      </c>
      <c r="O85" s="105">
        <f t="shared" si="123"/>
        <v>6.6101694915254239</v>
      </c>
      <c r="P85" s="105">
        <v>7.8</v>
      </c>
      <c r="Q85" s="105">
        <f t="shared" si="124"/>
        <v>801.84</v>
      </c>
      <c r="R85" s="104">
        <v>0</v>
      </c>
      <c r="S85" s="105">
        <f t="shared" si="82"/>
        <v>13.220338983050848</v>
      </c>
      <c r="T85" s="105">
        <v>15.6</v>
      </c>
      <c r="U85" s="105">
        <f t="shared" si="83"/>
        <v>0</v>
      </c>
      <c r="V85" s="105">
        <v>0</v>
      </c>
      <c r="W85" s="105">
        <f t="shared" si="137"/>
        <v>5.9322033898305087</v>
      </c>
      <c r="X85" s="105">
        <v>7</v>
      </c>
      <c r="Y85" s="105">
        <f t="shared" si="127"/>
        <v>0</v>
      </c>
      <c r="Z85" s="104">
        <f>20.2</f>
        <v>20.2</v>
      </c>
      <c r="AA85" s="105">
        <f t="shared" si="85"/>
        <v>5.5084745762711869</v>
      </c>
      <c r="AB85" s="105">
        <v>6.5</v>
      </c>
      <c r="AC85" s="105">
        <f t="shared" si="128"/>
        <v>131.29999999999998</v>
      </c>
      <c r="AD85" s="105">
        <v>0</v>
      </c>
      <c r="AE85" s="105">
        <f t="shared" si="87"/>
        <v>4.2372881355932206</v>
      </c>
      <c r="AF85" s="105">
        <v>5</v>
      </c>
      <c r="AG85" s="105">
        <f t="shared" si="129"/>
        <v>0</v>
      </c>
      <c r="AH85" s="106">
        <v>0</v>
      </c>
      <c r="AI85" s="105">
        <f t="shared" si="89"/>
        <v>9.3220338983050848</v>
      </c>
      <c r="AJ85" s="105">
        <v>11</v>
      </c>
      <c r="AK85" s="105">
        <f t="shared" si="130"/>
        <v>0</v>
      </c>
      <c r="AL85" s="106">
        <v>0</v>
      </c>
      <c r="AM85" s="105">
        <f t="shared" si="131"/>
        <v>12.711864406779661</v>
      </c>
      <c r="AN85" s="105">
        <v>15</v>
      </c>
      <c r="AO85" s="105">
        <f t="shared" si="132"/>
        <v>0</v>
      </c>
      <c r="AP85" s="105">
        <f t="shared" si="114"/>
        <v>790.7966101694916</v>
      </c>
      <c r="AQ85" s="105">
        <f t="shared" si="115"/>
        <v>933.14</v>
      </c>
      <c r="AR85" s="106">
        <f>477.2+26.1</f>
        <v>503.3</v>
      </c>
      <c r="AS85" s="105" t="s">
        <v>312</v>
      </c>
      <c r="AT85" s="107">
        <v>0</v>
      </c>
      <c r="AU85" s="107">
        <f t="shared" si="121"/>
        <v>5.0847457627118651</v>
      </c>
      <c r="AV85" s="107">
        <v>6</v>
      </c>
      <c r="AW85" s="107">
        <f t="shared" si="94"/>
        <v>2559.1525423728817</v>
      </c>
      <c r="AX85" s="107">
        <f t="shared" si="93"/>
        <v>3019.8</v>
      </c>
      <c r="AY85" s="108">
        <f t="shared" si="95"/>
        <v>3349.9491525423732</v>
      </c>
      <c r="AZ85" s="109">
        <f t="shared" si="95"/>
        <v>3952.94</v>
      </c>
      <c r="BA85" s="9"/>
      <c r="BB85" s="9"/>
      <c r="BC85" s="9"/>
      <c r="BD85" s="9"/>
      <c r="BE85" s="45"/>
      <c r="BF85" s="45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</row>
    <row r="86" spans="1:93" s="4" customFormat="1" ht="274.5" outlineLevel="1" x14ac:dyDescent="0.25">
      <c r="A86" s="100">
        <f t="shared" si="135"/>
        <v>65</v>
      </c>
      <c r="B86" s="101" t="s">
        <v>21</v>
      </c>
      <c r="C86" s="102" t="s">
        <v>104</v>
      </c>
      <c r="D86" s="103" t="s">
        <v>19</v>
      </c>
      <c r="E86" s="104">
        <f t="shared" si="119"/>
        <v>58</v>
      </c>
      <c r="F86" s="105">
        <v>0</v>
      </c>
      <c r="G86" s="105">
        <f t="shared" si="77"/>
        <v>16.949152542372882</v>
      </c>
      <c r="H86" s="105">
        <v>20</v>
      </c>
      <c r="I86" s="105">
        <f t="shared" si="78"/>
        <v>0</v>
      </c>
      <c r="J86" s="104">
        <v>0</v>
      </c>
      <c r="K86" s="105">
        <f t="shared" si="75"/>
        <v>12.711864406779661</v>
      </c>
      <c r="L86" s="105">
        <v>15</v>
      </c>
      <c r="M86" s="105">
        <f t="shared" si="79"/>
        <v>0</v>
      </c>
      <c r="N86" s="106">
        <v>58</v>
      </c>
      <c r="O86" s="105">
        <f t="shared" si="123"/>
        <v>6.6101694915254239</v>
      </c>
      <c r="P86" s="105">
        <v>7.8</v>
      </c>
      <c r="Q86" s="105">
        <f t="shared" si="124"/>
        <v>452.4</v>
      </c>
      <c r="R86" s="104">
        <v>0</v>
      </c>
      <c r="S86" s="105">
        <f t="shared" si="82"/>
        <v>13.220338983050848</v>
      </c>
      <c r="T86" s="105">
        <v>15.6</v>
      </c>
      <c r="U86" s="105">
        <f t="shared" si="83"/>
        <v>0</v>
      </c>
      <c r="V86" s="105">
        <v>0</v>
      </c>
      <c r="W86" s="105">
        <f t="shared" si="137"/>
        <v>5.9322033898305087</v>
      </c>
      <c r="X86" s="105">
        <v>7</v>
      </c>
      <c r="Y86" s="105">
        <f t="shared" si="84"/>
        <v>0</v>
      </c>
      <c r="Z86" s="104">
        <v>0</v>
      </c>
      <c r="AA86" s="105">
        <f t="shared" si="85"/>
        <v>5.5084745762711869</v>
      </c>
      <c r="AB86" s="105">
        <v>6.5</v>
      </c>
      <c r="AC86" s="105">
        <f t="shared" si="86"/>
        <v>0</v>
      </c>
      <c r="AD86" s="105">
        <v>0</v>
      </c>
      <c r="AE86" s="105">
        <f t="shared" si="87"/>
        <v>4.2372881355932206</v>
      </c>
      <c r="AF86" s="105">
        <v>5</v>
      </c>
      <c r="AG86" s="105">
        <f t="shared" si="88"/>
        <v>0</v>
      </c>
      <c r="AH86" s="106">
        <v>0</v>
      </c>
      <c r="AI86" s="105">
        <f t="shared" si="89"/>
        <v>9.3220338983050848</v>
      </c>
      <c r="AJ86" s="105">
        <v>11</v>
      </c>
      <c r="AK86" s="105">
        <f t="shared" si="130"/>
        <v>0</v>
      </c>
      <c r="AL86" s="106">
        <v>0</v>
      </c>
      <c r="AM86" s="105">
        <f t="shared" si="91"/>
        <v>12.711864406779661</v>
      </c>
      <c r="AN86" s="105">
        <v>15</v>
      </c>
      <c r="AO86" s="105">
        <f t="shared" si="92"/>
        <v>0</v>
      </c>
      <c r="AP86" s="105">
        <f t="shared" si="114"/>
        <v>383.38983050847457</v>
      </c>
      <c r="AQ86" s="105">
        <f t="shared" si="115"/>
        <v>452.4</v>
      </c>
      <c r="AR86" s="106">
        <f>10</f>
        <v>10</v>
      </c>
      <c r="AS86" s="105" t="s">
        <v>312</v>
      </c>
      <c r="AT86" s="107">
        <v>0</v>
      </c>
      <c r="AU86" s="107">
        <f t="shared" si="121"/>
        <v>5.0847457627118651</v>
      </c>
      <c r="AV86" s="107">
        <v>6</v>
      </c>
      <c r="AW86" s="107">
        <f t="shared" si="94"/>
        <v>50.847457627118651</v>
      </c>
      <c r="AX86" s="107">
        <f t="shared" si="93"/>
        <v>60</v>
      </c>
      <c r="AY86" s="108">
        <f t="shared" si="95"/>
        <v>434.23728813559325</v>
      </c>
      <c r="AZ86" s="109">
        <f t="shared" si="95"/>
        <v>512.4</v>
      </c>
      <c r="BA86" s="9"/>
      <c r="BB86" s="9"/>
      <c r="BC86" s="9"/>
      <c r="BD86" s="9"/>
      <c r="BE86" s="45"/>
      <c r="BF86" s="45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</row>
    <row r="87" spans="1:93" s="4" customFormat="1" ht="320.25" outlineLevel="1" x14ac:dyDescent="0.25">
      <c r="A87" s="100">
        <f t="shared" si="135"/>
        <v>66</v>
      </c>
      <c r="B87" s="101" t="s">
        <v>21</v>
      </c>
      <c r="C87" s="102" t="s">
        <v>105</v>
      </c>
      <c r="D87" s="103" t="s">
        <v>19</v>
      </c>
      <c r="E87" s="104">
        <f t="shared" si="119"/>
        <v>9.5</v>
      </c>
      <c r="F87" s="105">
        <v>0</v>
      </c>
      <c r="G87" s="105">
        <f t="shared" si="77"/>
        <v>16.949152542372882</v>
      </c>
      <c r="H87" s="105">
        <v>20</v>
      </c>
      <c r="I87" s="105">
        <f t="shared" si="78"/>
        <v>0</v>
      </c>
      <c r="J87" s="104">
        <v>0</v>
      </c>
      <c r="K87" s="105">
        <f t="shared" si="75"/>
        <v>12.711864406779661</v>
      </c>
      <c r="L87" s="105">
        <v>15</v>
      </c>
      <c r="M87" s="105">
        <f t="shared" si="79"/>
        <v>0</v>
      </c>
      <c r="N87" s="106">
        <v>9.5</v>
      </c>
      <c r="O87" s="105">
        <f t="shared" si="80"/>
        <v>6.6101694915254239</v>
      </c>
      <c r="P87" s="105">
        <v>7.8</v>
      </c>
      <c r="Q87" s="105">
        <f t="shared" si="81"/>
        <v>74.099999999999994</v>
      </c>
      <c r="R87" s="104">
        <v>0</v>
      </c>
      <c r="S87" s="105">
        <f t="shared" si="82"/>
        <v>13.220338983050848</v>
      </c>
      <c r="T87" s="105">
        <v>15.6</v>
      </c>
      <c r="U87" s="105">
        <f t="shared" si="83"/>
        <v>0</v>
      </c>
      <c r="V87" s="105">
        <v>0</v>
      </c>
      <c r="W87" s="105">
        <v>4.2</v>
      </c>
      <c r="X87" s="105">
        <v>7</v>
      </c>
      <c r="Y87" s="105">
        <f t="shared" si="84"/>
        <v>0</v>
      </c>
      <c r="Z87" s="104">
        <v>0</v>
      </c>
      <c r="AA87" s="105">
        <f t="shared" si="85"/>
        <v>5.5084745762711869</v>
      </c>
      <c r="AB87" s="105">
        <v>6.5</v>
      </c>
      <c r="AC87" s="105">
        <f t="shared" si="86"/>
        <v>0</v>
      </c>
      <c r="AD87" s="105">
        <v>0</v>
      </c>
      <c r="AE87" s="105">
        <f t="shared" si="87"/>
        <v>4.2372881355932206</v>
      </c>
      <c r="AF87" s="105">
        <v>5</v>
      </c>
      <c r="AG87" s="105">
        <f t="shared" si="88"/>
        <v>0</v>
      </c>
      <c r="AH87" s="106">
        <v>0</v>
      </c>
      <c r="AI87" s="105">
        <f t="shared" si="89"/>
        <v>9.3220338983050848</v>
      </c>
      <c r="AJ87" s="105">
        <v>11</v>
      </c>
      <c r="AK87" s="105">
        <f t="shared" si="130"/>
        <v>0</v>
      </c>
      <c r="AL87" s="106">
        <v>0</v>
      </c>
      <c r="AM87" s="105">
        <f t="shared" si="91"/>
        <v>12.711864406779661</v>
      </c>
      <c r="AN87" s="105">
        <v>15</v>
      </c>
      <c r="AO87" s="105">
        <f t="shared" si="92"/>
        <v>0</v>
      </c>
      <c r="AP87" s="105">
        <f t="shared" si="114"/>
        <v>62.796610169491522</v>
      </c>
      <c r="AQ87" s="105">
        <f t="shared" si="115"/>
        <v>74.099999999999994</v>
      </c>
      <c r="AR87" s="106">
        <v>0</v>
      </c>
      <c r="AS87" s="105" t="s">
        <v>312</v>
      </c>
      <c r="AT87" s="107">
        <v>0</v>
      </c>
      <c r="AU87" s="107">
        <f t="shared" si="121"/>
        <v>5.0847457627118651</v>
      </c>
      <c r="AV87" s="107">
        <v>6</v>
      </c>
      <c r="AW87" s="107">
        <f t="shared" si="94"/>
        <v>0</v>
      </c>
      <c r="AX87" s="107">
        <f t="shared" si="93"/>
        <v>0</v>
      </c>
      <c r="AY87" s="108">
        <f t="shared" si="95"/>
        <v>62.796610169491522</v>
      </c>
      <c r="AZ87" s="109">
        <f t="shared" si="95"/>
        <v>74.099999999999994</v>
      </c>
      <c r="BA87" s="9"/>
      <c r="BB87" s="9"/>
      <c r="BC87" s="9"/>
      <c r="BD87" s="9"/>
      <c r="BE87" s="45"/>
      <c r="BF87" s="45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</row>
    <row r="88" spans="1:93" s="4" customFormat="1" ht="274.5" outlineLevel="1" x14ac:dyDescent="0.25">
      <c r="A88" s="100">
        <f t="shared" si="135"/>
        <v>67</v>
      </c>
      <c r="B88" s="101" t="s">
        <v>21</v>
      </c>
      <c r="C88" s="102" t="s">
        <v>106</v>
      </c>
      <c r="D88" s="103" t="s">
        <v>19</v>
      </c>
      <c r="E88" s="104">
        <f t="shared" si="119"/>
        <v>8.6</v>
      </c>
      <c r="F88" s="105">
        <v>0</v>
      </c>
      <c r="G88" s="105">
        <f t="shared" si="77"/>
        <v>16.949152542372882</v>
      </c>
      <c r="H88" s="105">
        <v>20</v>
      </c>
      <c r="I88" s="105">
        <f t="shared" si="78"/>
        <v>0</v>
      </c>
      <c r="J88" s="104">
        <v>0</v>
      </c>
      <c r="K88" s="105">
        <f t="shared" si="75"/>
        <v>12.711864406779661</v>
      </c>
      <c r="L88" s="105">
        <v>15</v>
      </c>
      <c r="M88" s="105">
        <f t="shared" si="79"/>
        <v>0</v>
      </c>
      <c r="N88" s="106">
        <v>8.6</v>
      </c>
      <c r="O88" s="105">
        <f t="shared" si="80"/>
        <v>6.6101694915254239</v>
      </c>
      <c r="P88" s="105">
        <v>7.8</v>
      </c>
      <c r="Q88" s="105">
        <f t="shared" si="81"/>
        <v>67.08</v>
      </c>
      <c r="R88" s="104">
        <v>0</v>
      </c>
      <c r="S88" s="105">
        <f t="shared" si="82"/>
        <v>13.220338983050848</v>
      </c>
      <c r="T88" s="105">
        <v>15.6</v>
      </c>
      <c r="U88" s="105">
        <f t="shared" si="83"/>
        <v>0</v>
      </c>
      <c r="V88" s="105">
        <v>0</v>
      </c>
      <c r="W88" s="105">
        <f t="shared" ref="W88:W90" si="138">X88/1.18</f>
        <v>5.9322033898305087</v>
      </c>
      <c r="X88" s="105">
        <v>7</v>
      </c>
      <c r="Y88" s="105">
        <f t="shared" si="84"/>
        <v>0</v>
      </c>
      <c r="Z88" s="104">
        <v>0</v>
      </c>
      <c r="AA88" s="105">
        <f t="shared" si="85"/>
        <v>5.5084745762711869</v>
      </c>
      <c r="AB88" s="105">
        <v>6.5</v>
      </c>
      <c r="AC88" s="105">
        <f t="shared" si="86"/>
        <v>0</v>
      </c>
      <c r="AD88" s="105">
        <v>0</v>
      </c>
      <c r="AE88" s="105">
        <f t="shared" si="87"/>
        <v>4.2372881355932206</v>
      </c>
      <c r="AF88" s="105">
        <v>5</v>
      </c>
      <c r="AG88" s="105">
        <f t="shared" si="88"/>
        <v>0</v>
      </c>
      <c r="AH88" s="106">
        <v>0</v>
      </c>
      <c r="AI88" s="105">
        <f t="shared" si="89"/>
        <v>9.3220338983050848</v>
      </c>
      <c r="AJ88" s="105">
        <v>11</v>
      </c>
      <c r="AK88" s="105">
        <f t="shared" si="130"/>
        <v>0</v>
      </c>
      <c r="AL88" s="106">
        <v>0</v>
      </c>
      <c r="AM88" s="105">
        <f t="shared" si="91"/>
        <v>12.711864406779661</v>
      </c>
      <c r="AN88" s="105">
        <v>15</v>
      </c>
      <c r="AO88" s="105">
        <f t="shared" si="92"/>
        <v>0</v>
      </c>
      <c r="AP88" s="105">
        <f t="shared" si="114"/>
        <v>56.847457627118644</v>
      </c>
      <c r="AQ88" s="105">
        <f t="shared" si="115"/>
        <v>67.08</v>
      </c>
      <c r="AR88" s="106">
        <v>2</v>
      </c>
      <c r="AS88" s="105" t="s">
        <v>312</v>
      </c>
      <c r="AT88" s="107">
        <v>0</v>
      </c>
      <c r="AU88" s="107">
        <f t="shared" si="121"/>
        <v>5.0847457627118651</v>
      </c>
      <c r="AV88" s="107">
        <v>6</v>
      </c>
      <c r="AW88" s="107">
        <f t="shared" si="94"/>
        <v>10.16949152542373</v>
      </c>
      <c r="AX88" s="107">
        <f t="shared" si="93"/>
        <v>12</v>
      </c>
      <c r="AY88" s="108">
        <f t="shared" si="95"/>
        <v>67.016949152542367</v>
      </c>
      <c r="AZ88" s="109">
        <f t="shared" si="95"/>
        <v>79.08</v>
      </c>
      <c r="BA88" s="9"/>
      <c r="BB88" s="9"/>
      <c r="BC88" s="9"/>
      <c r="BD88" s="9"/>
      <c r="BE88" s="45"/>
      <c r="BF88" s="45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</row>
    <row r="89" spans="1:93" s="4" customFormat="1" ht="274.5" outlineLevel="1" x14ac:dyDescent="0.25">
      <c r="A89" s="100">
        <f t="shared" si="135"/>
        <v>68</v>
      </c>
      <c r="B89" s="101" t="s">
        <v>21</v>
      </c>
      <c r="C89" s="102" t="s">
        <v>107</v>
      </c>
      <c r="D89" s="103" t="s">
        <v>19</v>
      </c>
      <c r="E89" s="104">
        <f t="shared" si="119"/>
        <v>33.6</v>
      </c>
      <c r="F89" s="105">
        <v>0</v>
      </c>
      <c r="G89" s="105">
        <f t="shared" si="77"/>
        <v>16.949152542372882</v>
      </c>
      <c r="H89" s="105">
        <v>20</v>
      </c>
      <c r="I89" s="105">
        <f t="shared" si="78"/>
        <v>0</v>
      </c>
      <c r="J89" s="104">
        <v>0</v>
      </c>
      <c r="K89" s="105">
        <f t="shared" si="75"/>
        <v>12.711864406779661</v>
      </c>
      <c r="L89" s="105">
        <v>15</v>
      </c>
      <c r="M89" s="105">
        <f t="shared" si="79"/>
        <v>0</v>
      </c>
      <c r="N89" s="106">
        <v>33.6</v>
      </c>
      <c r="O89" s="105">
        <f t="shared" si="80"/>
        <v>6.6101694915254239</v>
      </c>
      <c r="P89" s="105">
        <v>7.8</v>
      </c>
      <c r="Q89" s="105">
        <f t="shared" si="81"/>
        <v>262.08</v>
      </c>
      <c r="R89" s="104">
        <v>0</v>
      </c>
      <c r="S89" s="105">
        <f t="shared" si="82"/>
        <v>13.220338983050848</v>
      </c>
      <c r="T89" s="105">
        <v>15.6</v>
      </c>
      <c r="U89" s="105">
        <f t="shared" si="83"/>
        <v>0</v>
      </c>
      <c r="V89" s="105">
        <v>0</v>
      </c>
      <c r="W89" s="105">
        <f t="shared" si="138"/>
        <v>5.9322033898305087</v>
      </c>
      <c r="X89" s="105">
        <v>7</v>
      </c>
      <c r="Y89" s="105">
        <f t="shared" si="84"/>
        <v>0</v>
      </c>
      <c r="Z89" s="104">
        <v>0</v>
      </c>
      <c r="AA89" s="105">
        <f t="shared" si="85"/>
        <v>5.5084745762711869</v>
      </c>
      <c r="AB89" s="105">
        <v>6.5</v>
      </c>
      <c r="AC89" s="105">
        <f t="shared" si="86"/>
        <v>0</v>
      </c>
      <c r="AD89" s="105">
        <v>0</v>
      </c>
      <c r="AE89" s="105">
        <f t="shared" si="87"/>
        <v>4.2372881355932206</v>
      </c>
      <c r="AF89" s="105">
        <v>5</v>
      </c>
      <c r="AG89" s="105">
        <f t="shared" si="88"/>
        <v>0</v>
      </c>
      <c r="AH89" s="106">
        <v>0</v>
      </c>
      <c r="AI89" s="105">
        <f t="shared" si="89"/>
        <v>9.3220338983050848</v>
      </c>
      <c r="AJ89" s="105">
        <v>11</v>
      </c>
      <c r="AK89" s="105">
        <f t="shared" si="130"/>
        <v>0</v>
      </c>
      <c r="AL89" s="106">
        <v>0</v>
      </c>
      <c r="AM89" s="105">
        <f t="shared" si="91"/>
        <v>12.711864406779661</v>
      </c>
      <c r="AN89" s="105">
        <v>15</v>
      </c>
      <c r="AO89" s="105">
        <f t="shared" si="92"/>
        <v>0</v>
      </c>
      <c r="AP89" s="105">
        <f t="shared" si="114"/>
        <v>222.10169491525423</v>
      </c>
      <c r="AQ89" s="105">
        <f t="shared" si="115"/>
        <v>262.08</v>
      </c>
      <c r="AR89" s="106">
        <v>0</v>
      </c>
      <c r="AS89" s="105" t="s">
        <v>312</v>
      </c>
      <c r="AT89" s="107">
        <v>0</v>
      </c>
      <c r="AU89" s="107">
        <f t="shared" si="121"/>
        <v>5.0847457627118651</v>
      </c>
      <c r="AV89" s="107">
        <v>6</v>
      </c>
      <c r="AW89" s="107">
        <f t="shared" si="94"/>
        <v>0</v>
      </c>
      <c r="AX89" s="107">
        <f t="shared" si="93"/>
        <v>0</v>
      </c>
      <c r="AY89" s="108">
        <f t="shared" si="95"/>
        <v>222.10169491525423</v>
      </c>
      <c r="AZ89" s="109">
        <f t="shared" si="95"/>
        <v>262.08</v>
      </c>
      <c r="BA89" s="9"/>
      <c r="BB89" s="9"/>
      <c r="BC89" s="9"/>
      <c r="BD89" s="9"/>
      <c r="BE89" s="45"/>
      <c r="BF89" s="45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</row>
    <row r="90" spans="1:93" s="4" customFormat="1" ht="274.5" outlineLevel="1" x14ac:dyDescent="0.25">
      <c r="A90" s="100">
        <f t="shared" si="135"/>
        <v>69</v>
      </c>
      <c r="B90" s="101" t="s">
        <v>252</v>
      </c>
      <c r="C90" s="102" t="s">
        <v>108</v>
      </c>
      <c r="D90" s="103" t="s">
        <v>19</v>
      </c>
      <c r="E90" s="104">
        <f t="shared" si="119"/>
        <v>15</v>
      </c>
      <c r="F90" s="105">
        <v>0</v>
      </c>
      <c r="G90" s="105">
        <f t="shared" si="77"/>
        <v>16.949152542372882</v>
      </c>
      <c r="H90" s="105">
        <v>20</v>
      </c>
      <c r="I90" s="105">
        <f t="shared" si="78"/>
        <v>0</v>
      </c>
      <c r="J90" s="104">
        <v>0</v>
      </c>
      <c r="K90" s="105">
        <f t="shared" si="75"/>
        <v>12.711864406779661</v>
      </c>
      <c r="L90" s="105">
        <v>15</v>
      </c>
      <c r="M90" s="105">
        <f t="shared" si="79"/>
        <v>0</v>
      </c>
      <c r="N90" s="106">
        <v>15</v>
      </c>
      <c r="O90" s="105">
        <f t="shared" si="80"/>
        <v>6.6101694915254239</v>
      </c>
      <c r="P90" s="105">
        <v>7.8</v>
      </c>
      <c r="Q90" s="105">
        <f t="shared" si="81"/>
        <v>117</v>
      </c>
      <c r="R90" s="104">
        <v>0</v>
      </c>
      <c r="S90" s="105">
        <f t="shared" si="82"/>
        <v>13.220338983050848</v>
      </c>
      <c r="T90" s="105">
        <v>15.6</v>
      </c>
      <c r="U90" s="105">
        <f t="shared" si="83"/>
        <v>0</v>
      </c>
      <c r="V90" s="105">
        <v>0</v>
      </c>
      <c r="W90" s="105">
        <f t="shared" si="138"/>
        <v>5.9322033898305087</v>
      </c>
      <c r="X90" s="105">
        <v>7</v>
      </c>
      <c r="Y90" s="105">
        <f t="shared" si="84"/>
        <v>0</v>
      </c>
      <c r="Z90" s="104">
        <v>0</v>
      </c>
      <c r="AA90" s="105">
        <f t="shared" si="85"/>
        <v>5.5084745762711869</v>
      </c>
      <c r="AB90" s="105">
        <v>6.5</v>
      </c>
      <c r="AC90" s="105">
        <f t="shared" si="86"/>
        <v>0</v>
      </c>
      <c r="AD90" s="105">
        <v>0</v>
      </c>
      <c r="AE90" s="105">
        <f t="shared" si="87"/>
        <v>4.2372881355932206</v>
      </c>
      <c r="AF90" s="105">
        <v>5</v>
      </c>
      <c r="AG90" s="105">
        <f t="shared" si="88"/>
        <v>0</v>
      </c>
      <c r="AH90" s="106">
        <v>0</v>
      </c>
      <c r="AI90" s="105">
        <f t="shared" si="89"/>
        <v>9.3220338983050848</v>
      </c>
      <c r="AJ90" s="105">
        <v>11</v>
      </c>
      <c r="AK90" s="105">
        <f t="shared" si="130"/>
        <v>0</v>
      </c>
      <c r="AL90" s="106">
        <v>0</v>
      </c>
      <c r="AM90" s="105">
        <f t="shared" si="91"/>
        <v>12.711864406779661</v>
      </c>
      <c r="AN90" s="105">
        <v>15</v>
      </c>
      <c r="AO90" s="105">
        <f t="shared" si="92"/>
        <v>0</v>
      </c>
      <c r="AP90" s="105">
        <f t="shared" si="114"/>
        <v>99.152542372881356</v>
      </c>
      <c r="AQ90" s="105">
        <f t="shared" si="115"/>
        <v>117</v>
      </c>
      <c r="AR90" s="106">
        <v>0</v>
      </c>
      <c r="AS90" s="105" t="s">
        <v>312</v>
      </c>
      <c r="AT90" s="107">
        <v>0</v>
      </c>
      <c r="AU90" s="107">
        <f t="shared" si="121"/>
        <v>5.0847457627118651</v>
      </c>
      <c r="AV90" s="107">
        <v>6</v>
      </c>
      <c r="AW90" s="107">
        <f t="shared" si="94"/>
        <v>0</v>
      </c>
      <c r="AX90" s="107">
        <f t="shared" si="93"/>
        <v>0</v>
      </c>
      <c r="AY90" s="108">
        <f t="shared" si="95"/>
        <v>99.152542372881356</v>
      </c>
      <c r="AZ90" s="109">
        <f t="shared" si="95"/>
        <v>117</v>
      </c>
      <c r="BA90" s="9"/>
      <c r="BB90" s="9"/>
      <c r="BC90" s="9"/>
      <c r="BD90" s="9"/>
      <c r="BE90" s="45"/>
      <c r="BF90" s="45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</row>
    <row r="91" spans="1:93" s="4" customFormat="1" ht="320.25" outlineLevel="1" x14ac:dyDescent="0.25">
      <c r="A91" s="100">
        <f t="shared" si="135"/>
        <v>70</v>
      </c>
      <c r="B91" s="101" t="s">
        <v>252</v>
      </c>
      <c r="C91" s="102" t="s">
        <v>109</v>
      </c>
      <c r="D91" s="103" t="s">
        <v>19</v>
      </c>
      <c r="E91" s="104">
        <f t="shared" si="119"/>
        <v>14.7</v>
      </c>
      <c r="F91" s="105">
        <v>0</v>
      </c>
      <c r="G91" s="105">
        <f t="shared" si="77"/>
        <v>16.949152542372882</v>
      </c>
      <c r="H91" s="105">
        <v>20</v>
      </c>
      <c r="I91" s="105">
        <f t="shared" si="78"/>
        <v>0</v>
      </c>
      <c r="J91" s="104">
        <v>0</v>
      </c>
      <c r="K91" s="105">
        <f t="shared" si="75"/>
        <v>12.711864406779661</v>
      </c>
      <c r="L91" s="105">
        <v>15</v>
      </c>
      <c r="M91" s="105">
        <f t="shared" si="79"/>
        <v>0</v>
      </c>
      <c r="N91" s="106">
        <v>14.7</v>
      </c>
      <c r="O91" s="105">
        <f t="shared" si="80"/>
        <v>6.6101694915254239</v>
      </c>
      <c r="P91" s="105">
        <v>7.8</v>
      </c>
      <c r="Q91" s="105">
        <f t="shared" si="81"/>
        <v>114.66</v>
      </c>
      <c r="R91" s="104">
        <v>0</v>
      </c>
      <c r="S91" s="105">
        <f t="shared" si="82"/>
        <v>13.220338983050848</v>
      </c>
      <c r="T91" s="105">
        <v>15.6</v>
      </c>
      <c r="U91" s="105">
        <f t="shared" si="83"/>
        <v>0</v>
      </c>
      <c r="V91" s="105">
        <v>0</v>
      </c>
      <c r="W91" s="105">
        <v>4.2</v>
      </c>
      <c r="X91" s="105">
        <v>7</v>
      </c>
      <c r="Y91" s="105">
        <f t="shared" si="84"/>
        <v>0</v>
      </c>
      <c r="Z91" s="104">
        <v>0</v>
      </c>
      <c r="AA91" s="105">
        <f t="shared" si="85"/>
        <v>5.5084745762711869</v>
      </c>
      <c r="AB91" s="105">
        <v>6.5</v>
      </c>
      <c r="AC91" s="105">
        <f t="shared" si="86"/>
        <v>0</v>
      </c>
      <c r="AD91" s="105">
        <v>0</v>
      </c>
      <c r="AE91" s="105">
        <f t="shared" si="87"/>
        <v>4.2372881355932206</v>
      </c>
      <c r="AF91" s="105">
        <v>5</v>
      </c>
      <c r="AG91" s="105">
        <f t="shared" si="88"/>
        <v>0</v>
      </c>
      <c r="AH91" s="106">
        <v>0</v>
      </c>
      <c r="AI91" s="105">
        <f t="shared" si="89"/>
        <v>9.3220338983050848</v>
      </c>
      <c r="AJ91" s="105">
        <v>11</v>
      </c>
      <c r="AK91" s="105">
        <f t="shared" si="130"/>
        <v>0</v>
      </c>
      <c r="AL91" s="106">
        <v>0</v>
      </c>
      <c r="AM91" s="105">
        <f t="shared" si="91"/>
        <v>12.711864406779661</v>
      </c>
      <c r="AN91" s="105">
        <v>15</v>
      </c>
      <c r="AO91" s="105">
        <f t="shared" si="92"/>
        <v>0</v>
      </c>
      <c r="AP91" s="105">
        <f t="shared" si="114"/>
        <v>97.169491525423737</v>
      </c>
      <c r="AQ91" s="105">
        <f t="shared" si="115"/>
        <v>114.66</v>
      </c>
      <c r="AR91" s="106">
        <v>0</v>
      </c>
      <c r="AS91" s="105" t="s">
        <v>312</v>
      </c>
      <c r="AT91" s="107">
        <v>0</v>
      </c>
      <c r="AU91" s="107">
        <f t="shared" si="121"/>
        <v>5.0847457627118651</v>
      </c>
      <c r="AV91" s="107">
        <v>6</v>
      </c>
      <c r="AW91" s="107">
        <f t="shared" si="94"/>
        <v>0</v>
      </c>
      <c r="AX91" s="107">
        <f t="shared" si="93"/>
        <v>0</v>
      </c>
      <c r="AY91" s="108">
        <f t="shared" si="95"/>
        <v>97.169491525423737</v>
      </c>
      <c r="AZ91" s="109">
        <f t="shared" si="95"/>
        <v>114.66</v>
      </c>
      <c r="BA91" s="9"/>
      <c r="BB91" s="9"/>
      <c r="BC91" s="9"/>
      <c r="BD91" s="9"/>
      <c r="BE91" s="45"/>
      <c r="BF91" s="45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</row>
    <row r="92" spans="1:93" s="4" customFormat="1" ht="320.25" outlineLevel="1" x14ac:dyDescent="0.25">
      <c r="A92" s="100">
        <f t="shared" si="135"/>
        <v>71</v>
      </c>
      <c r="B92" s="101" t="s">
        <v>252</v>
      </c>
      <c r="C92" s="102" t="s">
        <v>110</v>
      </c>
      <c r="D92" s="103" t="s">
        <v>19</v>
      </c>
      <c r="E92" s="104">
        <f t="shared" si="119"/>
        <v>15.8</v>
      </c>
      <c r="F92" s="105">
        <v>0</v>
      </c>
      <c r="G92" s="105">
        <f t="shared" si="77"/>
        <v>16.949152542372882</v>
      </c>
      <c r="H92" s="105">
        <v>20</v>
      </c>
      <c r="I92" s="105">
        <f t="shared" si="78"/>
        <v>0</v>
      </c>
      <c r="J92" s="104">
        <v>0</v>
      </c>
      <c r="K92" s="105">
        <f t="shared" si="75"/>
        <v>12.711864406779661</v>
      </c>
      <c r="L92" s="105">
        <v>15</v>
      </c>
      <c r="M92" s="105">
        <f t="shared" si="79"/>
        <v>0</v>
      </c>
      <c r="N92" s="106">
        <v>15.8</v>
      </c>
      <c r="O92" s="105">
        <f t="shared" si="80"/>
        <v>6.6101694915254239</v>
      </c>
      <c r="P92" s="105">
        <v>7.8</v>
      </c>
      <c r="Q92" s="105">
        <f t="shared" si="81"/>
        <v>123.24000000000001</v>
      </c>
      <c r="R92" s="104">
        <v>0</v>
      </c>
      <c r="S92" s="105">
        <f t="shared" si="82"/>
        <v>13.220338983050848</v>
      </c>
      <c r="T92" s="105">
        <v>15.6</v>
      </c>
      <c r="U92" s="105">
        <f t="shared" si="83"/>
        <v>0</v>
      </c>
      <c r="V92" s="105">
        <v>0</v>
      </c>
      <c r="W92" s="105">
        <f t="shared" ref="W92:W94" si="139">X92/1.18</f>
        <v>5.9322033898305087</v>
      </c>
      <c r="X92" s="105">
        <v>7</v>
      </c>
      <c r="Y92" s="105">
        <f t="shared" si="84"/>
        <v>0</v>
      </c>
      <c r="Z92" s="104">
        <v>0</v>
      </c>
      <c r="AA92" s="105">
        <f t="shared" si="85"/>
        <v>5.5084745762711869</v>
      </c>
      <c r="AB92" s="105">
        <v>6.5</v>
      </c>
      <c r="AC92" s="105">
        <f t="shared" si="86"/>
        <v>0</v>
      </c>
      <c r="AD92" s="105">
        <v>0</v>
      </c>
      <c r="AE92" s="105">
        <f t="shared" si="87"/>
        <v>4.2372881355932206</v>
      </c>
      <c r="AF92" s="105">
        <v>5</v>
      </c>
      <c r="AG92" s="105">
        <f t="shared" si="88"/>
        <v>0</v>
      </c>
      <c r="AH92" s="106">
        <v>0</v>
      </c>
      <c r="AI92" s="105">
        <f t="shared" si="89"/>
        <v>9.3220338983050848</v>
      </c>
      <c r="AJ92" s="105">
        <v>11</v>
      </c>
      <c r="AK92" s="105">
        <f t="shared" si="130"/>
        <v>0</v>
      </c>
      <c r="AL92" s="106">
        <v>0</v>
      </c>
      <c r="AM92" s="105">
        <f t="shared" si="91"/>
        <v>12.711864406779661</v>
      </c>
      <c r="AN92" s="105">
        <v>15</v>
      </c>
      <c r="AO92" s="105">
        <f t="shared" si="92"/>
        <v>0</v>
      </c>
      <c r="AP92" s="105">
        <f t="shared" si="114"/>
        <v>104.4406779661017</v>
      </c>
      <c r="AQ92" s="105">
        <f t="shared" si="115"/>
        <v>123.24000000000001</v>
      </c>
      <c r="AR92" s="106">
        <v>0</v>
      </c>
      <c r="AS92" s="105" t="s">
        <v>312</v>
      </c>
      <c r="AT92" s="107">
        <v>0</v>
      </c>
      <c r="AU92" s="107">
        <f t="shared" si="121"/>
        <v>5.0847457627118651</v>
      </c>
      <c r="AV92" s="107">
        <v>6</v>
      </c>
      <c r="AW92" s="107">
        <f t="shared" si="94"/>
        <v>0</v>
      </c>
      <c r="AX92" s="107">
        <f t="shared" si="93"/>
        <v>0</v>
      </c>
      <c r="AY92" s="108">
        <f t="shared" si="95"/>
        <v>104.4406779661017</v>
      </c>
      <c r="AZ92" s="109">
        <f t="shared" si="95"/>
        <v>123.24000000000001</v>
      </c>
      <c r="BA92" s="9"/>
      <c r="BB92" s="9"/>
      <c r="BC92" s="9"/>
      <c r="BD92" s="9"/>
      <c r="BE92" s="45"/>
      <c r="BF92" s="45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</row>
    <row r="93" spans="1:93" s="4" customFormat="1" ht="274.5" outlineLevel="1" x14ac:dyDescent="0.25">
      <c r="A93" s="100">
        <f t="shared" si="135"/>
        <v>72</v>
      </c>
      <c r="B93" s="101" t="s">
        <v>252</v>
      </c>
      <c r="C93" s="102" t="s">
        <v>111</v>
      </c>
      <c r="D93" s="103" t="s">
        <v>19</v>
      </c>
      <c r="E93" s="104">
        <f t="shared" si="119"/>
        <v>6.9</v>
      </c>
      <c r="F93" s="105">
        <v>0</v>
      </c>
      <c r="G93" s="105">
        <f t="shared" si="77"/>
        <v>16.949152542372882</v>
      </c>
      <c r="H93" s="105">
        <v>20</v>
      </c>
      <c r="I93" s="105">
        <f t="shared" si="78"/>
        <v>0</v>
      </c>
      <c r="J93" s="104">
        <v>0</v>
      </c>
      <c r="K93" s="105">
        <f t="shared" si="75"/>
        <v>12.711864406779661</v>
      </c>
      <c r="L93" s="105">
        <v>15</v>
      </c>
      <c r="M93" s="105">
        <f t="shared" si="79"/>
        <v>0</v>
      </c>
      <c r="N93" s="106">
        <v>6.9</v>
      </c>
      <c r="O93" s="105">
        <f t="shared" si="80"/>
        <v>6.6101694915254239</v>
      </c>
      <c r="P93" s="105">
        <v>7.8</v>
      </c>
      <c r="Q93" s="105">
        <f t="shared" si="81"/>
        <v>53.82</v>
      </c>
      <c r="R93" s="104">
        <v>0</v>
      </c>
      <c r="S93" s="105">
        <f t="shared" si="82"/>
        <v>13.220338983050848</v>
      </c>
      <c r="T93" s="105">
        <v>15.6</v>
      </c>
      <c r="U93" s="105">
        <f t="shared" si="83"/>
        <v>0</v>
      </c>
      <c r="V93" s="105">
        <v>0</v>
      </c>
      <c r="W93" s="105">
        <f t="shared" si="139"/>
        <v>5.9322033898305087</v>
      </c>
      <c r="X93" s="105">
        <v>7</v>
      </c>
      <c r="Y93" s="105">
        <f t="shared" si="84"/>
        <v>0</v>
      </c>
      <c r="Z93" s="104">
        <v>0</v>
      </c>
      <c r="AA93" s="105">
        <f t="shared" si="85"/>
        <v>5.5084745762711869</v>
      </c>
      <c r="AB93" s="105">
        <v>6.5</v>
      </c>
      <c r="AC93" s="105">
        <f t="shared" si="86"/>
        <v>0</v>
      </c>
      <c r="AD93" s="105">
        <v>0</v>
      </c>
      <c r="AE93" s="105">
        <f t="shared" si="87"/>
        <v>4.2372881355932206</v>
      </c>
      <c r="AF93" s="105">
        <v>5</v>
      </c>
      <c r="AG93" s="105">
        <f t="shared" si="88"/>
        <v>0</v>
      </c>
      <c r="AH93" s="106">
        <v>0</v>
      </c>
      <c r="AI93" s="105">
        <f t="shared" si="89"/>
        <v>9.3220338983050848</v>
      </c>
      <c r="AJ93" s="105">
        <v>11</v>
      </c>
      <c r="AK93" s="105">
        <f t="shared" si="130"/>
        <v>0</v>
      </c>
      <c r="AL93" s="106">
        <v>0</v>
      </c>
      <c r="AM93" s="105">
        <f t="shared" si="91"/>
        <v>12.711864406779661</v>
      </c>
      <c r="AN93" s="105">
        <v>15</v>
      </c>
      <c r="AO93" s="105">
        <f t="shared" si="92"/>
        <v>0</v>
      </c>
      <c r="AP93" s="105">
        <f t="shared" si="114"/>
        <v>45.610169491525426</v>
      </c>
      <c r="AQ93" s="105">
        <f t="shared" si="115"/>
        <v>53.82</v>
      </c>
      <c r="AR93" s="106">
        <v>0</v>
      </c>
      <c r="AS93" s="105" t="s">
        <v>312</v>
      </c>
      <c r="AT93" s="107">
        <v>0</v>
      </c>
      <c r="AU93" s="107">
        <f t="shared" si="121"/>
        <v>5.0847457627118651</v>
      </c>
      <c r="AV93" s="107">
        <v>6</v>
      </c>
      <c r="AW93" s="107">
        <f t="shared" si="94"/>
        <v>0</v>
      </c>
      <c r="AX93" s="107">
        <f t="shared" si="93"/>
        <v>0</v>
      </c>
      <c r="AY93" s="108">
        <f t="shared" si="95"/>
        <v>45.610169491525426</v>
      </c>
      <c r="AZ93" s="109">
        <f t="shared" si="95"/>
        <v>53.82</v>
      </c>
      <c r="BA93" s="9"/>
      <c r="BB93" s="9"/>
      <c r="BC93" s="9"/>
      <c r="BD93" s="9"/>
      <c r="BE93" s="45"/>
      <c r="BF93" s="45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</row>
    <row r="94" spans="1:93" s="4" customFormat="1" ht="274.5" outlineLevel="1" x14ac:dyDescent="0.25">
      <c r="A94" s="100">
        <f t="shared" si="135"/>
        <v>73</v>
      </c>
      <c r="B94" s="101" t="s">
        <v>252</v>
      </c>
      <c r="C94" s="102" t="s">
        <v>227</v>
      </c>
      <c r="D94" s="103" t="s">
        <v>19</v>
      </c>
      <c r="E94" s="104">
        <f t="shared" si="119"/>
        <v>63</v>
      </c>
      <c r="F94" s="105">
        <v>0</v>
      </c>
      <c r="G94" s="105">
        <f t="shared" si="77"/>
        <v>16.949152542372882</v>
      </c>
      <c r="H94" s="105">
        <v>20</v>
      </c>
      <c r="I94" s="105">
        <f t="shared" si="78"/>
        <v>0</v>
      </c>
      <c r="J94" s="104">
        <v>0</v>
      </c>
      <c r="K94" s="105">
        <f t="shared" si="75"/>
        <v>12.711864406779661</v>
      </c>
      <c r="L94" s="105">
        <v>15</v>
      </c>
      <c r="M94" s="105">
        <f t="shared" si="79"/>
        <v>0</v>
      </c>
      <c r="N94" s="106">
        <v>63</v>
      </c>
      <c r="O94" s="105">
        <f t="shared" si="80"/>
        <v>6.6101694915254239</v>
      </c>
      <c r="P94" s="105">
        <v>7.8</v>
      </c>
      <c r="Q94" s="105">
        <f t="shared" si="81"/>
        <v>491.4</v>
      </c>
      <c r="R94" s="104">
        <v>0</v>
      </c>
      <c r="S94" s="105">
        <f t="shared" si="82"/>
        <v>13.220338983050848</v>
      </c>
      <c r="T94" s="105">
        <v>15.6</v>
      </c>
      <c r="U94" s="105">
        <f t="shared" si="83"/>
        <v>0</v>
      </c>
      <c r="V94" s="105">
        <v>0</v>
      </c>
      <c r="W94" s="105">
        <f t="shared" si="139"/>
        <v>5.9322033898305087</v>
      </c>
      <c r="X94" s="105">
        <v>7</v>
      </c>
      <c r="Y94" s="105">
        <f t="shared" si="84"/>
        <v>0</v>
      </c>
      <c r="Z94" s="104">
        <v>0</v>
      </c>
      <c r="AA94" s="105">
        <f t="shared" si="85"/>
        <v>5.5084745762711869</v>
      </c>
      <c r="AB94" s="105">
        <v>6.5</v>
      </c>
      <c r="AC94" s="105">
        <f t="shared" si="86"/>
        <v>0</v>
      </c>
      <c r="AD94" s="105">
        <v>0</v>
      </c>
      <c r="AE94" s="105">
        <f t="shared" si="87"/>
        <v>4.2372881355932206</v>
      </c>
      <c r="AF94" s="105">
        <v>5</v>
      </c>
      <c r="AG94" s="105">
        <f t="shared" si="88"/>
        <v>0</v>
      </c>
      <c r="AH94" s="106">
        <v>0</v>
      </c>
      <c r="AI94" s="105">
        <f t="shared" si="89"/>
        <v>9.3220338983050848</v>
      </c>
      <c r="AJ94" s="105">
        <v>11</v>
      </c>
      <c r="AK94" s="105">
        <f t="shared" si="130"/>
        <v>0</v>
      </c>
      <c r="AL94" s="106">
        <v>0</v>
      </c>
      <c r="AM94" s="105">
        <f t="shared" si="91"/>
        <v>12.711864406779661</v>
      </c>
      <c r="AN94" s="105">
        <v>15</v>
      </c>
      <c r="AO94" s="105">
        <f t="shared" si="92"/>
        <v>0</v>
      </c>
      <c r="AP94" s="105">
        <f t="shared" si="114"/>
        <v>416.4406779661017</v>
      </c>
      <c r="AQ94" s="105">
        <f t="shared" si="115"/>
        <v>491.4</v>
      </c>
      <c r="AR94" s="106">
        <v>10</v>
      </c>
      <c r="AS94" s="105" t="s">
        <v>312</v>
      </c>
      <c r="AT94" s="107">
        <v>0</v>
      </c>
      <c r="AU94" s="107">
        <f t="shared" si="121"/>
        <v>5.0847457627118651</v>
      </c>
      <c r="AV94" s="107">
        <v>6</v>
      </c>
      <c r="AW94" s="107">
        <f t="shared" si="94"/>
        <v>50.847457627118651</v>
      </c>
      <c r="AX94" s="107">
        <f t="shared" si="93"/>
        <v>60</v>
      </c>
      <c r="AY94" s="108">
        <f t="shared" si="95"/>
        <v>467.28813559322037</v>
      </c>
      <c r="AZ94" s="109">
        <f t="shared" si="95"/>
        <v>551.4</v>
      </c>
      <c r="BA94" s="9"/>
      <c r="BB94" s="9"/>
      <c r="BC94" s="9"/>
      <c r="BD94" s="9"/>
      <c r="BE94" s="45"/>
      <c r="BF94" s="45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</row>
    <row r="95" spans="1:93" s="4" customFormat="1" ht="274.5" outlineLevel="1" x14ac:dyDescent="0.25">
      <c r="A95" s="100">
        <f t="shared" si="135"/>
        <v>74</v>
      </c>
      <c r="B95" s="101" t="s">
        <v>252</v>
      </c>
      <c r="C95" s="102" t="s">
        <v>112</v>
      </c>
      <c r="D95" s="103" t="s">
        <v>19</v>
      </c>
      <c r="E95" s="104">
        <f t="shared" si="119"/>
        <v>4.3</v>
      </c>
      <c r="F95" s="105">
        <v>0</v>
      </c>
      <c r="G95" s="105">
        <f t="shared" si="77"/>
        <v>16.949152542372882</v>
      </c>
      <c r="H95" s="105">
        <v>20</v>
      </c>
      <c r="I95" s="105">
        <f t="shared" si="78"/>
        <v>0</v>
      </c>
      <c r="J95" s="104">
        <v>0</v>
      </c>
      <c r="K95" s="105">
        <f t="shared" si="75"/>
        <v>12.711864406779661</v>
      </c>
      <c r="L95" s="105">
        <v>15</v>
      </c>
      <c r="M95" s="105">
        <f t="shared" si="79"/>
        <v>0</v>
      </c>
      <c r="N95" s="106">
        <v>4.3</v>
      </c>
      <c r="O95" s="105">
        <f t="shared" si="80"/>
        <v>6.6101694915254239</v>
      </c>
      <c r="P95" s="105">
        <v>7.8</v>
      </c>
      <c r="Q95" s="105">
        <f t="shared" si="81"/>
        <v>33.54</v>
      </c>
      <c r="R95" s="104">
        <v>0</v>
      </c>
      <c r="S95" s="105">
        <f t="shared" si="82"/>
        <v>13.220338983050848</v>
      </c>
      <c r="T95" s="105">
        <v>15.6</v>
      </c>
      <c r="U95" s="105">
        <f t="shared" si="83"/>
        <v>0</v>
      </c>
      <c r="V95" s="105">
        <v>0</v>
      </c>
      <c r="W95" s="105">
        <v>4.2</v>
      </c>
      <c r="X95" s="105">
        <v>7</v>
      </c>
      <c r="Y95" s="105">
        <f t="shared" si="84"/>
        <v>0</v>
      </c>
      <c r="Z95" s="104">
        <v>0</v>
      </c>
      <c r="AA95" s="105">
        <f t="shared" si="85"/>
        <v>5.5084745762711869</v>
      </c>
      <c r="AB95" s="105">
        <v>6.5</v>
      </c>
      <c r="AC95" s="105">
        <f t="shared" si="86"/>
        <v>0</v>
      </c>
      <c r="AD95" s="105">
        <v>0</v>
      </c>
      <c r="AE95" s="105">
        <f t="shared" si="87"/>
        <v>4.2372881355932206</v>
      </c>
      <c r="AF95" s="105">
        <v>5</v>
      </c>
      <c r="AG95" s="105">
        <f t="shared" si="88"/>
        <v>0</v>
      </c>
      <c r="AH95" s="106">
        <v>0</v>
      </c>
      <c r="AI95" s="105">
        <f t="shared" si="89"/>
        <v>9.3220338983050848</v>
      </c>
      <c r="AJ95" s="105">
        <v>11</v>
      </c>
      <c r="AK95" s="105">
        <f t="shared" si="130"/>
        <v>0</v>
      </c>
      <c r="AL95" s="106">
        <v>0</v>
      </c>
      <c r="AM95" s="105">
        <f t="shared" si="91"/>
        <v>12.711864406779661</v>
      </c>
      <c r="AN95" s="105">
        <v>15</v>
      </c>
      <c r="AO95" s="105">
        <f t="shared" si="92"/>
        <v>0</v>
      </c>
      <c r="AP95" s="105">
        <f t="shared" si="114"/>
        <v>28.423728813559322</v>
      </c>
      <c r="AQ95" s="105">
        <f t="shared" si="115"/>
        <v>33.54</v>
      </c>
      <c r="AR95" s="106">
        <v>0</v>
      </c>
      <c r="AS95" s="105" t="s">
        <v>312</v>
      </c>
      <c r="AT95" s="107">
        <v>0</v>
      </c>
      <c r="AU95" s="107">
        <f t="shared" si="121"/>
        <v>5.0847457627118651</v>
      </c>
      <c r="AV95" s="107">
        <v>6</v>
      </c>
      <c r="AW95" s="107">
        <f t="shared" si="94"/>
        <v>0</v>
      </c>
      <c r="AX95" s="107">
        <f t="shared" si="93"/>
        <v>0</v>
      </c>
      <c r="AY95" s="108">
        <f t="shared" si="95"/>
        <v>28.423728813559322</v>
      </c>
      <c r="AZ95" s="109">
        <f t="shared" si="95"/>
        <v>33.54</v>
      </c>
      <c r="BA95" s="9"/>
      <c r="BB95" s="9"/>
      <c r="BC95" s="9"/>
      <c r="BD95" s="9"/>
      <c r="BE95" s="45"/>
      <c r="BF95" s="45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</row>
    <row r="96" spans="1:93" s="4" customFormat="1" ht="320.25" outlineLevel="1" x14ac:dyDescent="0.25">
      <c r="A96" s="100">
        <f t="shared" si="135"/>
        <v>75</v>
      </c>
      <c r="B96" s="101" t="s">
        <v>252</v>
      </c>
      <c r="C96" s="102" t="s">
        <v>113</v>
      </c>
      <c r="D96" s="103" t="s">
        <v>19</v>
      </c>
      <c r="E96" s="104">
        <f t="shared" si="119"/>
        <v>20.399999999999999</v>
      </c>
      <c r="F96" s="105">
        <v>0</v>
      </c>
      <c r="G96" s="105">
        <f t="shared" si="77"/>
        <v>16.949152542372882</v>
      </c>
      <c r="H96" s="105">
        <v>20</v>
      </c>
      <c r="I96" s="105">
        <f t="shared" si="78"/>
        <v>0</v>
      </c>
      <c r="J96" s="104">
        <v>0</v>
      </c>
      <c r="K96" s="105">
        <f t="shared" si="75"/>
        <v>12.711864406779661</v>
      </c>
      <c r="L96" s="105">
        <v>15</v>
      </c>
      <c r="M96" s="105">
        <f t="shared" si="79"/>
        <v>0</v>
      </c>
      <c r="N96" s="106">
        <v>20.399999999999999</v>
      </c>
      <c r="O96" s="105">
        <f t="shared" si="80"/>
        <v>6.6101694915254239</v>
      </c>
      <c r="P96" s="105">
        <v>7.8</v>
      </c>
      <c r="Q96" s="105">
        <f t="shared" si="81"/>
        <v>159.11999999999998</v>
      </c>
      <c r="R96" s="104">
        <v>0</v>
      </c>
      <c r="S96" s="105">
        <f t="shared" si="82"/>
        <v>13.220338983050848</v>
      </c>
      <c r="T96" s="105">
        <v>15.6</v>
      </c>
      <c r="U96" s="105">
        <f t="shared" si="83"/>
        <v>0</v>
      </c>
      <c r="V96" s="105">
        <v>0</v>
      </c>
      <c r="W96" s="105">
        <f t="shared" ref="W96:W98" si="140">X96/1.18</f>
        <v>5.9322033898305087</v>
      </c>
      <c r="X96" s="105">
        <v>7</v>
      </c>
      <c r="Y96" s="105">
        <f t="shared" si="84"/>
        <v>0</v>
      </c>
      <c r="Z96" s="104">
        <v>0</v>
      </c>
      <c r="AA96" s="105">
        <f t="shared" si="85"/>
        <v>5.5084745762711869</v>
      </c>
      <c r="AB96" s="105">
        <v>6.5</v>
      </c>
      <c r="AC96" s="105">
        <f t="shared" si="86"/>
        <v>0</v>
      </c>
      <c r="AD96" s="105">
        <v>0</v>
      </c>
      <c r="AE96" s="105">
        <f t="shared" si="87"/>
        <v>4.2372881355932206</v>
      </c>
      <c r="AF96" s="105">
        <v>5</v>
      </c>
      <c r="AG96" s="105">
        <f t="shared" si="88"/>
        <v>0</v>
      </c>
      <c r="AH96" s="106">
        <v>0</v>
      </c>
      <c r="AI96" s="105">
        <f t="shared" si="89"/>
        <v>9.3220338983050848</v>
      </c>
      <c r="AJ96" s="105">
        <v>11</v>
      </c>
      <c r="AK96" s="105">
        <f t="shared" si="130"/>
        <v>0</v>
      </c>
      <c r="AL96" s="106">
        <v>0</v>
      </c>
      <c r="AM96" s="105">
        <f t="shared" si="91"/>
        <v>12.711864406779661</v>
      </c>
      <c r="AN96" s="105">
        <v>15</v>
      </c>
      <c r="AO96" s="105">
        <f t="shared" si="92"/>
        <v>0</v>
      </c>
      <c r="AP96" s="105">
        <f t="shared" si="114"/>
        <v>134.84745762711864</v>
      </c>
      <c r="AQ96" s="105">
        <f t="shared" si="115"/>
        <v>159.11999999999998</v>
      </c>
      <c r="AR96" s="106">
        <v>0</v>
      </c>
      <c r="AS96" s="105" t="s">
        <v>312</v>
      </c>
      <c r="AT96" s="107">
        <v>0</v>
      </c>
      <c r="AU96" s="107">
        <f t="shared" si="121"/>
        <v>5.0847457627118651</v>
      </c>
      <c r="AV96" s="107">
        <v>6</v>
      </c>
      <c r="AW96" s="107">
        <f t="shared" si="94"/>
        <v>0</v>
      </c>
      <c r="AX96" s="107">
        <f t="shared" si="93"/>
        <v>0</v>
      </c>
      <c r="AY96" s="108">
        <f t="shared" si="95"/>
        <v>134.84745762711864</v>
      </c>
      <c r="AZ96" s="109">
        <f t="shared" si="95"/>
        <v>159.11999999999998</v>
      </c>
      <c r="BA96" s="9"/>
      <c r="BB96" s="9"/>
      <c r="BC96" s="9"/>
      <c r="BD96" s="9"/>
      <c r="BE96" s="45"/>
      <c r="BF96" s="45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</row>
    <row r="97" spans="1:93" s="4" customFormat="1" ht="274.5" outlineLevel="1" x14ac:dyDescent="0.25">
      <c r="A97" s="100">
        <f t="shared" si="135"/>
        <v>76</v>
      </c>
      <c r="B97" s="101" t="s">
        <v>252</v>
      </c>
      <c r="C97" s="102" t="s">
        <v>114</v>
      </c>
      <c r="D97" s="103" t="s">
        <v>19</v>
      </c>
      <c r="E97" s="104">
        <f t="shared" si="119"/>
        <v>27.3</v>
      </c>
      <c r="F97" s="105">
        <v>0</v>
      </c>
      <c r="G97" s="105">
        <f t="shared" si="77"/>
        <v>16.949152542372882</v>
      </c>
      <c r="H97" s="105">
        <v>20</v>
      </c>
      <c r="I97" s="105">
        <f t="shared" si="78"/>
        <v>0</v>
      </c>
      <c r="J97" s="104">
        <v>0</v>
      </c>
      <c r="K97" s="105">
        <f t="shared" si="75"/>
        <v>12.711864406779661</v>
      </c>
      <c r="L97" s="105">
        <v>15</v>
      </c>
      <c r="M97" s="105">
        <f t="shared" si="79"/>
        <v>0</v>
      </c>
      <c r="N97" s="106">
        <v>27.3</v>
      </c>
      <c r="O97" s="105">
        <f t="shared" si="80"/>
        <v>6.6101694915254239</v>
      </c>
      <c r="P97" s="105">
        <v>7.8</v>
      </c>
      <c r="Q97" s="105">
        <f t="shared" si="81"/>
        <v>212.94</v>
      </c>
      <c r="R97" s="104">
        <v>0</v>
      </c>
      <c r="S97" s="105">
        <f t="shared" si="82"/>
        <v>13.220338983050848</v>
      </c>
      <c r="T97" s="105">
        <v>15.6</v>
      </c>
      <c r="U97" s="105">
        <f t="shared" si="83"/>
        <v>0</v>
      </c>
      <c r="V97" s="105">
        <v>0</v>
      </c>
      <c r="W97" s="105">
        <f t="shared" si="140"/>
        <v>5.9322033898305087</v>
      </c>
      <c r="X97" s="105">
        <v>7</v>
      </c>
      <c r="Y97" s="105">
        <f t="shared" si="84"/>
        <v>0</v>
      </c>
      <c r="Z97" s="104">
        <v>0</v>
      </c>
      <c r="AA97" s="105">
        <f t="shared" si="85"/>
        <v>5.5084745762711869</v>
      </c>
      <c r="AB97" s="105">
        <v>6.5</v>
      </c>
      <c r="AC97" s="105">
        <f t="shared" si="86"/>
        <v>0</v>
      </c>
      <c r="AD97" s="105">
        <v>0</v>
      </c>
      <c r="AE97" s="105">
        <f t="shared" si="87"/>
        <v>4.2372881355932206</v>
      </c>
      <c r="AF97" s="105">
        <v>5</v>
      </c>
      <c r="AG97" s="105">
        <f t="shared" si="88"/>
        <v>0</v>
      </c>
      <c r="AH97" s="106">
        <v>0</v>
      </c>
      <c r="AI97" s="105">
        <f t="shared" si="89"/>
        <v>9.3220338983050848</v>
      </c>
      <c r="AJ97" s="105">
        <v>11</v>
      </c>
      <c r="AK97" s="105">
        <f t="shared" si="130"/>
        <v>0</v>
      </c>
      <c r="AL97" s="106">
        <v>0</v>
      </c>
      <c r="AM97" s="105">
        <f t="shared" si="91"/>
        <v>12.711864406779661</v>
      </c>
      <c r="AN97" s="105">
        <v>15</v>
      </c>
      <c r="AO97" s="105">
        <f t="shared" si="92"/>
        <v>0</v>
      </c>
      <c r="AP97" s="105">
        <f t="shared" si="114"/>
        <v>180.45762711864407</v>
      </c>
      <c r="AQ97" s="105">
        <f t="shared" si="115"/>
        <v>212.94</v>
      </c>
      <c r="AR97" s="106">
        <v>0</v>
      </c>
      <c r="AS97" s="105" t="s">
        <v>312</v>
      </c>
      <c r="AT97" s="107">
        <v>0</v>
      </c>
      <c r="AU97" s="107">
        <f t="shared" si="121"/>
        <v>5.0847457627118651</v>
      </c>
      <c r="AV97" s="107">
        <v>6</v>
      </c>
      <c r="AW97" s="107">
        <f t="shared" si="94"/>
        <v>0</v>
      </c>
      <c r="AX97" s="107">
        <f t="shared" si="93"/>
        <v>0</v>
      </c>
      <c r="AY97" s="108">
        <f t="shared" si="95"/>
        <v>180.45762711864407</v>
      </c>
      <c r="AZ97" s="109">
        <f t="shared" si="95"/>
        <v>212.94</v>
      </c>
      <c r="BA97" s="9"/>
      <c r="BB97" s="9"/>
      <c r="BC97" s="9"/>
      <c r="BD97" s="9"/>
      <c r="BE97" s="45"/>
      <c r="BF97" s="45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</row>
    <row r="98" spans="1:93" s="4" customFormat="1" ht="274.5" outlineLevel="1" x14ac:dyDescent="0.25">
      <c r="A98" s="100">
        <f t="shared" si="135"/>
        <v>77</v>
      </c>
      <c r="B98" s="101" t="s">
        <v>252</v>
      </c>
      <c r="C98" s="102" t="s">
        <v>115</v>
      </c>
      <c r="D98" s="103" t="s">
        <v>19</v>
      </c>
      <c r="E98" s="104">
        <f t="shared" si="119"/>
        <v>27.4</v>
      </c>
      <c r="F98" s="105">
        <v>0</v>
      </c>
      <c r="G98" s="105">
        <f t="shared" si="77"/>
        <v>16.949152542372882</v>
      </c>
      <c r="H98" s="105">
        <v>20</v>
      </c>
      <c r="I98" s="105">
        <f t="shared" si="78"/>
        <v>0</v>
      </c>
      <c r="J98" s="104">
        <v>0</v>
      </c>
      <c r="K98" s="105">
        <f t="shared" si="75"/>
        <v>12.711864406779661</v>
      </c>
      <c r="L98" s="105">
        <v>15</v>
      </c>
      <c r="M98" s="105">
        <f t="shared" si="79"/>
        <v>0</v>
      </c>
      <c r="N98" s="106">
        <v>27.4</v>
      </c>
      <c r="O98" s="105">
        <f t="shared" si="80"/>
        <v>6.6101694915254239</v>
      </c>
      <c r="P98" s="105">
        <v>7.8</v>
      </c>
      <c r="Q98" s="105">
        <f t="shared" si="81"/>
        <v>213.71999999999997</v>
      </c>
      <c r="R98" s="104">
        <v>0</v>
      </c>
      <c r="S98" s="105">
        <f t="shared" si="82"/>
        <v>13.220338983050848</v>
      </c>
      <c r="T98" s="105">
        <v>15.6</v>
      </c>
      <c r="U98" s="105">
        <f t="shared" si="83"/>
        <v>0</v>
      </c>
      <c r="V98" s="105">
        <v>0</v>
      </c>
      <c r="W98" s="105">
        <f t="shared" si="140"/>
        <v>5.9322033898305087</v>
      </c>
      <c r="X98" s="105">
        <v>7</v>
      </c>
      <c r="Y98" s="105">
        <f t="shared" si="84"/>
        <v>0</v>
      </c>
      <c r="Z98" s="104">
        <v>0</v>
      </c>
      <c r="AA98" s="105">
        <f t="shared" si="85"/>
        <v>5.5084745762711869</v>
      </c>
      <c r="AB98" s="105">
        <v>6.5</v>
      </c>
      <c r="AC98" s="105">
        <f t="shared" si="86"/>
        <v>0</v>
      </c>
      <c r="AD98" s="105">
        <v>0</v>
      </c>
      <c r="AE98" s="105">
        <f t="shared" si="87"/>
        <v>4.2372881355932206</v>
      </c>
      <c r="AF98" s="105">
        <v>5</v>
      </c>
      <c r="AG98" s="105">
        <f t="shared" si="88"/>
        <v>0</v>
      </c>
      <c r="AH98" s="106">
        <v>0</v>
      </c>
      <c r="AI98" s="105">
        <f t="shared" si="89"/>
        <v>9.3220338983050848</v>
      </c>
      <c r="AJ98" s="105">
        <v>11</v>
      </c>
      <c r="AK98" s="105">
        <f t="shared" si="130"/>
        <v>0</v>
      </c>
      <c r="AL98" s="106">
        <v>0</v>
      </c>
      <c r="AM98" s="105">
        <f t="shared" si="91"/>
        <v>12.711864406779661</v>
      </c>
      <c r="AN98" s="105">
        <v>15</v>
      </c>
      <c r="AO98" s="105">
        <f t="shared" si="92"/>
        <v>0</v>
      </c>
      <c r="AP98" s="105">
        <f t="shared" si="114"/>
        <v>181.11864406779659</v>
      </c>
      <c r="AQ98" s="105">
        <f t="shared" si="115"/>
        <v>213.71999999999997</v>
      </c>
      <c r="AR98" s="106">
        <f>5.2+539.7</f>
        <v>544.90000000000009</v>
      </c>
      <c r="AS98" s="105" t="s">
        <v>312</v>
      </c>
      <c r="AT98" s="107">
        <v>0</v>
      </c>
      <c r="AU98" s="107">
        <f t="shared" si="121"/>
        <v>5.0847457627118651</v>
      </c>
      <c r="AV98" s="107">
        <v>6</v>
      </c>
      <c r="AW98" s="107">
        <f t="shared" si="94"/>
        <v>2770.6779661016958</v>
      </c>
      <c r="AX98" s="107">
        <f t="shared" si="93"/>
        <v>3269.4000000000005</v>
      </c>
      <c r="AY98" s="108">
        <f t="shared" si="95"/>
        <v>2951.7966101694924</v>
      </c>
      <c r="AZ98" s="109">
        <f t="shared" si="95"/>
        <v>3483.1200000000003</v>
      </c>
      <c r="BA98" s="9"/>
      <c r="BB98" s="9"/>
      <c r="BC98" s="9"/>
      <c r="BD98" s="9"/>
      <c r="BE98" s="45"/>
      <c r="BF98" s="45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</row>
    <row r="99" spans="1:93" s="5" customFormat="1" ht="45.75" outlineLevel="1" x14ac:dyDescent="0.25">
      <c r="A99" s="149" t="s">
        <v>54</v>
      </c>
      <c r="B99" s="150"/>
      <c r="C99" s="150"/>
      <c r="D99" s="133"/>
      <c r="E99" s="104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11"/>
      <c r="AQ99" s="111"/>
      <c r="AR99" s="133"/>
      <c r="AS99" s="105"/>
      <c r="AT99" s="133"/>
      <c r="AU99" s="133"/>
      <c r="AV99" s="133"/>
      <c r="AW99" s="133"/>
      <c r="AX99" s="133"/>
      <c r="AY99" s="111"/>
      <c r="AZ99" s="112"/>
      <c r="BA99" s="9"/>
      <c r="BB99" s="9"/>
      <c r="BC99" s="9"/>
      <c r="BD99" s="9"/>
      <c r="BE99" s="9"/>
      <c r="BF99" s="9"/>
    </row>
    <row r="100" spans="1:93" s="4" customFormat="1" ht="320.25" outlineLevel="1" x14ac:dyDescent="0.25">
      <c r="A100" s="100">
        <f>A98+1</f>
        <v>78</v>
      </c>
      <c r="B100" s="136" t="s">
        <v>254</v>
      </c>
      <c r="C100" s="102" t="s">
        <v>116</v>
      </c>
      <c r="D100" s="103" t="s">
        <v>19</v>
      </c>
      <c r="E100" s="104">
        <f t="shared" si="119"/>
        <v>298.3</v>
      </c>
      <c r="F100" s="105">
        <v>0</v>
      </c>
      <c r="G100" s="105">
        <f t="shared" si="77"/>
        <v>16.949152542372882</v>
      </c>
      <c r="H100" s="105">
        <v>20</v>
      </c>
      <c r="I100" s="105">
        <f t="shared" si="78"/>
        <v>0</v>
      </c>
      <c r="J100" s="104">
        <f>89.6</f>
        <v>89.6</v>
      </c>
      <c r="K100" s="105">
        <f t="shared" si="75"/>
        <v>12.711864406779661</v>
      </c>
      <c r="L100" s="105">
        <v>15</v>
      </c>
      <c r="M100" s="105">
        <f t="shared" si="79"/>
        <v>1344</v>
      </c>
      <c r="N100" s="106">
        <f>40.5+18+10+8</f>
        <v>76.5</v>
      </c>
      <c r="O100" s="105">
        <f t="shared" si="80"/>
        <v>6.6101694915254239</v>
      </c>
      <c r="P100" s="105">
        <v>7.8</v>
      </c>
      <c r="Q100" s="105">
        <f t="shared" si="81"/>
        <v>596.69999999999993</v>
      </c>
      <c r="R100" s="104">
        <v>30.8</v>
      </c>
      <c r="S100" s="105">
        <f t="shared" si="82"/>
        <v>13.220338983050848</v>
      </c>
      <c r="T100" s="105">
        <v>15.6</v>
      </c>
      <c r="U100" s="105">
        <f t="shared" si="83"/>
        <v>480.48</v>
      </c>
      <c r="V100" s="105">
        <v>13.8</v>
      </c>
      <c r="W100" s="105">
        <f t="shared" ref="W100:W102" si="141">X100/1.18</f>
        <v>5.9322033898305087</v>
      </c>
      <c r="X100" s="105">
        <v>7</v>
      </c>
      <c r="Y100" s="105">
        <f t="shared" si="84"/>
        <v>96.600000000000009</v>
      </c>
      <c r="Z100" s="104">
        <f>61.9+16.1+4.6</f>
        <v>82.6</v>
      </c>
      <c r="AA100" s="105">
        <f t="shared" si="85"/>
        <v>5.5084745762711869</v>
      </c>
      <c r="AB100" s="105">
        <v>6.5</v>
      </c>
      <c r="AC100" s="105">
        <f t="shared" si="86"/>
        <v>536.9</v>
      </c>
      <c r="AD100" s="105">
        <v>0</v>
      </c>
      <c r="AE100" s="105">
        <f t="shared" si="87"/>
        <v>4.2372881355932206</v>
      </c>
      <c r="AF100" s="105">
        <v>5</v>
      </c>
      <c r="AG100" s="105">
        <f t="shared" si="88"/>
        <v>0</v>
      </c>
      <c r="AH100" s="106">
        <v>0</v>
      </c>
      <c r="AI100" s="105">
        <f t="shared" si="89"/>
        <v>9.3220338983050848</v>
      </c>
      <c r="AJ100" s="105">
        <v>11</v>
      </c>
      <c r="AK100" s="105">
        <f t="shared" si="90"/>
        <v>0</v>
      </c>
      <c r="AL100" s="106">
        <v>5</v>
      </c>
      <c r="AM100" s="105">
        <f t="shared" si="91"/>
        <v>12.711864406779661</v>
      </c>
      <c r="AN100" s="105">
        <v>15</v>
      </c>
      <c r="AO100" s="105">
        <f t="shared" si="92"/>
        <v>75</v>
      </c>
      <c r="AP100" s="105">
        <f t="shared" si="114"/>
        <v>2652.2711864406779</v>
      </c>
      <c r="AQ100" s="105">
        <f t="shared" si="115"/>
        <v>3129.68</v>
      </c>
      <c r="AR100" s="106">
        <v>30</v>
      </c>
      <c r="AS100" s="105" t="s">
        <v>312</v>
      </c>
      <c r="AT100" s="107">
        <v>0</v>
      </c>
      <c r="AU100" s="107">
        <f t="shared" si="121"/>
        <v>5.0847457627118651</v>
      </c>
      <c r="AV100" s="107">
        <v>6</v>
      </c>
      <c r="AW100" s="107">
        <f t="shared" si="94"/>
        <v>152.54237288135596</v>
      </c>
      <c r="AX100" s="107">
        <f t="shared" si="93"/>
        <v>180</v>
      </c>
      <c r="AY100" s="108">
        <f t="shared" si="95"/>
        <v>2804.8135593220341</v>
      </c>
      <c r="AZ100" s="109">
        <f t="shared" si="95"/>
        <v>3309.68</v>
      </c>
      <c r="BA100" s="9"/>
      <c r="BB100" s="9"/>
      <c r="BC100" s="9"/>
      <c r="BD100" s="9"/>
      <c r="BE100" s="45"/>
      <c r="BF100" s="45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</row>
    <row r="101" spans="1:93" s="4" customFormat="1" ht="274.5" outlineLevel="1" x14ac:dyDescent="0.25">
      <c r="A101" s="100">
        <f>A100+1</f>
        <v>79</v>
      </c>
      <c r="B101" s="101" t="s">
        <v>254</v>
      </c>
      <c r="C101" s="102" t="s">
        <v>117</v>
      </c>
      <c r="D101" s="103" t="s">
        <v>19</v>
      </c>
      <c r="E101" s="104">
        <f t="shared" si="119"/>
        <v>128.9</v>
      </c>
      <c r="F101" s="105">
        <v>0</v>
      </c>
      <c r="G101" s="105">
        <f t="shared" si="77"/>
        <v>16.949152542372882</v>
      </c>
      <c r="H101" s="105">
        <v>20</v>
      </c>
      <c r="I101" s="105">
        <f t="shared" si="78"/>
        <v>0</v>
      </c>
      <c r="J101" s="104">
        <v>35.200000000000003</v>
      </c>
      <c r="K101" s="105">
        <f t="shared" si="75"/>
        <v>12.711864406779661</v>
      </c>
      <c r="L101" s="105">
        <v>15</v>
      </c>
      <c r="M101" s="105">
        <f t="shared" si="79"/>
        <v>528</v>
      </c>
      <c r="N101" s="106">
        <f>14.2</f>
        <v>14.2</v>
      </c>
      <c r="O101" s="105">
        <f t="shared" si="80"/>
        <v>6.6101694915254239</v>
      </c>
      <c r="P101" s="105">
        <v>7.8</v>
      </c>
      <c r="Q101" s="105">
        <f t="shared" si="81"/>
        <v>110.75999999999999</v>
      </c>
      <c r="R101" s="104">
        <v>44</v>
      </c>
      <c r="S101" s="105">
        <f t="shared" si="82"/>
        <v>13.220338983050848</v>
      </c>
      <c r="T101" s="105">
        <v>15.6</v>
      </c>
      <c r="U101" s="105">
        <f t="shared" si="83"/>
        <v>686.4</v>
      </c>
      <c r="V101" s="105">
        <v>13.1</v>
      </c>
      <c r="W101" s="105">
        <f t="shared" si="141"/>
        <v>5.9322033898305087</v>
      </c>
      <c r="X101" s="105">
        <v>7</v>
      </c>
      <c r="Y101" s="105">
        <f t="shared" si="84"/>
        <v>91.7</v>
      </c>
      <c r="Z101" s="104">
        <f>20</f>
        <v>20</v>
      </c>
      <c r="AA101" s="105">
        <f t="shared" si="85"/>
        <v>5.5084745762711869</v>
      </c>
      <c r="AB101" s="105">
        <v>6.5</v>
      </c>
      <c r="AC101" s="105">
        <f t="shared" si="86"/>
        <v>130</v>
      </c>
      <c r="AD101" s="105">
        <v>0</v>
      </c>
      <c r="AE101" s="105">
        <f t="shared" si="87"/>
        <v>4.2372881355932206</v>
      </c>
      <c r="AF101" s="105">
        <v>5</v>
      </c>
      <c r="AG101" s="105">
        <f t="shared" si="88"/>
        <v>0</v>
      </c>
      <c r="AH101" s="106">
        <v>0</v>
      </c>
      <c r="AI101" s="105">
        <f t="shared" si="89"/>
        <v>9.3220338983050848</v>
      </c>
      <c r="AJ101" s="105">
        <v>11</v>
      </c>
      <c r="AK101" s="105">
        <f t="shared" si="90"/>
        <v>0</v>
      </c>
      <c r="AL101" s="106">
        <v>2.4</v>
      </c>
      <c r="AM101" s="105">
        <f t="shared" si="91"/>
        <v>12.711864406779661</v>
      </c>
      <c r="AN101" s="105">
        <v>15</v>
      </c>
      <c r="AO101" s="105">
        <f t="shared" si="92"/>
        <v>36</v>
      </c>
      <c r="AP101" s="105">
        <f t="shared" si="114"/>
        <v>1341.406779661017</v>
      </c>
      <c r="AQ101" s="105">
        <f t="shared" si="115"/>
        <v>1582.86</v>
      </c>
      <c r="AR101" s="106">
        <v>0</v>
      </c>
      <c r="AS101" s="105" t="s">
        <v>312</v>
      </c>
      <c r="AT101" s="107">
        <v>0</v>
      </c>
      <c r="AU101" s="107">
        <f t="shared" si="121"/>
        <v>5.0847457627118651</v>
      </c>
      <c r="AV101" s="107">
        <v>6</v>
      </c>
      <c r="AW101" s="107">
        <f t="shared" si="94"/>
        <v>0</v>
      </c>
      <c r="AX101" s="107">
        <f t="shared" si="93"/>
        <v>0</v>
      </c>
      <c r="AY101" s="108">
        <f t="shared" si="95"/>
        <v>1341.406779661017</v>
      </c>
      <c r="AZ101" s="109">
        <f t="shared" si="95"/>
        <v>1582.86</v>
      </c>
      <c r="BA101" s="9"/>
      <c r="BB101" s="9"/>
      <c r="BC101" s="9"/>
      <c r="BD101" s="9"/>
      <c r="BE101" s="45"/>
      <c r="BF101" s="45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</row>
    <row r="102" spans="1:93" s="4" customFormat="1" ht="274.5" outlineLevel="1" x14ac:dyDescent="0.25">
      <c r="A102" s="100">
        <f t="shared" ref="A102:A104" si="142">A101+1</f>
        <v>80</v>
      </c>
      <c r="B102" s="101" t="s">
        <v>254</v>
      </c>
      <c r="C102" s="102" t="s">
        <v>118</v>
      </c>
      <c r="D102" s="103" t="s">
        <v>19</v>
      </c>
      <c r="E102" s="104">
        <f t="shared" si="119"/>
        <v>149.69999999999999</v>
      </c>
      <c r="F102" s="105">
        <v>0</v>
      </c>
      <c r="G102" s="105">
        <f t="shared" si="77"/>
        <v>16.949152542372882</v>
      </c>
      <c r="H102" s="105">
        <v>20</v>
      </c>
      <c r="I102" s="105">
        <f t="shared" si="78"/>
        <v>0</v>
      </c>
      <c r="J102" s="104">
        <v>0</v>
      </c>
      <c r="K102" s="105">
        <f t="shared" si="75"/>
        <v>12.711864406779661</v>
      </c>
      <c r="L102" s="105">
        <v>15</v>
      </c>
      <c r="M102" s="105">
        <f t="shared" si="79"/>
        <v>0</v>
      </c>
      <c r="N102" s="106">
        <v>89.7</v>
      </c>
      <c r="O102" s="105">
        <f t="shared" si="80"/>
        <v>6.6101694915254239</v>
      </c>
      <c r="P102" s="105">
        <v>7.8</v>
      </c>
      <c r="Q102" s="105">
        <f t="shared" si="81"/>
        <v>699.66</v>
      </c>
      <c r="R102" s="104">
        <v>0</v>
      </c>
      <c r="S102" s="105">
        <f t="shared" si="82"/>
        <v>13.220338983050848</v>
      </c>
      <c r="T102" s="105">
        <v>15.6</v>
      </c>
      <c r="U102" s="105">
        <f t="shared" si="83"/>
        <v>0</v>
      </c>
      <c r="V102" s="105">
        <v>45</v>
      </c>
      <c r="W102" s="105">
        <f t="shared" si="141"/>
        <v>5.9322033898305087</v>
      </c>
      <c r="X102" s="105">
        <v>7</v>
      </c>
      <c r="Y102" s="105">
        <f t="shared" si="84"/>
        <v>315</v>
      </c>
      <c r="Z102" s="104">
        <v>11</v>
      </c>
      <c r="AA102" s="105">
        <f t="shared" si="85"/>
        <v>5.5084745762711869</v>
      </c>
      <c r="AB102" s="105">
        <v>6.5</v>
      </c>
      <c r="AC102" s="105">
        <f t="shared" si="86"/>
        <v>71.5</v>
      </c>
      <c r="AD102" s="105">
        <v>0</v>
      </c>
      <c r="AE102" s="105">
        <f t="shared" si="87"/>
        <v>4.2372881355932206</v>
      </c>
      <c r="AF102" s="105">
        <v>5</v>
      </c>
      <c r="AG102" s="105">
        <f t="shared" si="88"/>
        <v>0</v>
      </c>
      <c r="AH102" s="106">
        <v>0</v>
      </c>
      <c r="AI102" s="105">
        <f t="shared" si="89"/>
        <v>9.3220338983050848</v>
      </c>
      <c r="AJ102" s="105">
        <v>11</v>
      </c>
      <c r="AK102" s="105">
        <f t="shared" si="90"/>
        <v>0</v>
      </c>
      <c r="AL102" s="106">
        <v>4</v>
      </c>
      <c r="AM102" s="105">
        <f t="shared" si="91"/>
        <v>12.711864406779661</v>
      </c>
      <c r="AN102" s="105">
        <v>15</v>
      </c>
      <c r="AO102" s="105">
        <f t="shared" si="92"/>
        <v>60</v>
      </c>
      <c r="AP102" s="105">
        <f t="shared" si="114"/>
        <v>971.32203389830499</v>
      </c>
      <c r="AQ102" s="105">
        <f t="shared" si="115"/>
        <v>1146.1599999999999</v>
      </c>
      <c r="AR102" s="106">
        <v>0</v>
      </c>
      <c r="AS102" s="105" t="s">
        <v>312</v>
      </c>
      <c r="AT102" s="107">
        <v>0</v>
      </c>
      <c r="AU102" s="107">
        <f t="shared" si="121"/>
        <v>5.0847457627118651</v>
      </c>
      <c r="AV102" s="107">
        <v>6</v>
      </c>
      <c r="AW102" s="107">
        <f t="shared" si="94"/>
        <v>0</v>
      </c>
      <c r="AX102" s="107">
        <f t="shared" si="93"/>
        <v>0</v>
      </c>
      <c r="AY102" s="108">
        <f t="shared" si="95"/>
        <v>971.32203389830499</v>
      </c>
      <c r="AZ102" s="109">
        <f t="shared" si="95"/>
        <v>1146.1599999999999</v>
      </c>
      <c r="BA102" s="9"/>
      <c r="BB102" s="9"/>
      <c r="BC102" s="9"/>
      <c r="BD102" s="9"/>
      <c r="BE102" s="45"/>
      <c r="BF102" s="45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</row>
    <row r="103" spans="1:93" s="4" customFormat="1" ht="274.5" outlineLevel="1" x14ac:dyDescent="0.25">
      <c r="A103" s="100">
        <f t="shared" si="142"/>
        <v>81</v>
      </c>
      <c r="B103" s="101" t="s">
        <v>252</v>
      </c>
      <c r="C103" s="102" t="s">
        <v>224</v>
      </c>
      <c r="D103" s="103" t="s">
        <v>19</v>
      </c>
      <c r="E103" s="104">
        <f t="shared" si="119"/>
        <v>806.90000000000009</v>
      </c>
      <c r="F103" s="105">
        <v>0</v>
      </c>
      <c r="G103" s="105">
        <f t="shared" si="77"/>
        <v>16.949152542372882</v>
      </c>
      <c r="H103" s="105">
        <v>20</v>
      </c>
      <c r="I103" s="105">
        <f t="shared" si="78"/>
        <v>0</v>
      </c>
      <c r="J103" s="104">
        <f>26+106.2+74.5</f>
        <v>206.7</v>
      </c>
      <c r="K103" s="105">
        <f t="shared" si="75"/>
        <v>12.711864406779661</v>
      </c>
      <c r="L103" s="105">
        <v>15</v>
      </c>
      <c r="M103" s="105">
        <f t="shared" si="79"/>
        <v>3100.5</v>
      </c>
      <c r="N103" s="106">
        <f>32.6+16.5+59.3+30.2+144</f>
        <v>282.60000000000002</v>
      </c>
      <c r="O103" s="105">
        <f t="shared" si="80"/>
        <v>6.6101694915254239</v>
      </c>
      <c r="P103" s="105">
        <v>7.8</v>
      </c>
      <c r="Q103" s="105">
        <f t="shared" si="81"/>
        <v>2204.2800000000002</v>
      </c>
      <c r="R103" s="104">
        <v>0</v>
      </c>
      <c r="S103" s="105">
        <f t="shared" si="82"/>
        <v>13.220338983050848</v>
      </c>
      <c r="T103" s="105">
        <v>15.6</v>
      </c>
      <c r="U103" s="105">
        <f t="shared" si="83"/>
        <v>0</v>
      </c>
      <c r="V103" s="105">
        <f>3.8+4+18</f>
        <v>25.8</v>
      </c>
      <c r="W103" s="105">
        <v>4.2</v>
      </c>
      <c r="X103" s="105">
        <v>7</v>
      </c>
      <c r="Y103" s="105">
        <f t="shared" si="84"/>
        <v>180.6</v>
      </c>
      <c r="Z103" s="104">
        <f>26.4+40.8+90+9.8</f>
        <v>167</v>
      </c>
      <c r="AA103" s="105">
        <f t="shared" si="85"/>
        <v>5.5084745762711869</v>
      </c>
      <c r="AB103" s="105">
        <v>6.5</v>
      </c>
      <c r="AC103" s="105">
        <f t="shared" si="86"/>
        <v>1085.5</v>
      </c>
      <c r="AD103" s="105">
        <v>0</v>
      </c>
      <c r="AE103" s="105">
        <f t="shared" si="87"/>
        <v>4.2372881355932206</v>
      </c>
      <c r="AF103" s="105">
        <v>5</v>
      </c>
      <c r="AG103" s="105">
        <f t="shared" si="88"/>
        <v>0</v>
      </c>
      <c r="AH103" s="106">
        <v>111.6</v>
      </c>
      <c r="AI103" s="105">
        <f t="shared" si="89"/>
        <v>9.3220338983050848</v>
      </c>
      <c r="AJ103" s="105">
        <v>11</v>
      </c>
      <c r="AK103" s="105">
        <f t="shared" si="90"/>
        <v>1227.5999999999999</v>
      </c>
      <c r="AL103" s="106">
        <v>13.2</v>
      </c>
      <c r="AM103" s="105">
        <f t="shared" si="91"/>
        <v>12.711864406779661</v>
      </c>
      <c r="AN103" s="105">
        <v>15</v>
      </c>
      <c r="AO103" s="105">
        <f t="shared" si="92"/>
        <v>198</v>
      </c>
      <c r="AP103" s="105">
        <f t="shared" si="114"/>
        <v>6776.6779661016963</v>
      </c>
      <c r="AQ103" s="105">
        <f t="shared" si="115"/>
        <v>7996.4800000000014</v>
      </c>
      <c r="AR103" s="106">
        <v>600</v>
      </c>
      <c r="AS103" s="105" t="s">
        <v>312</v>
      </c>
      <c r="AT103" s="107">
        <v>0</v>
      </c>
      <c r="AU103" s="107">
        <f t="shared" si="121"/>
        <v>5.0847457627118651</v>
      </c>
      <c r="AV103" s="107">
        <v>6</v>
      </c>
      <c r="AW103" s="107">
        <f t="shared" si="94"/>
        <v>3050.8474576271192</v>
      </c>
      <c r="AX103" s="107">
        <f t="shared" si="93"/>
        <v>3600</v>
      </c>
      <c r="AY103" s="108">
        <f t="shared" si="95"/>
        <v>9827.5254237288154</v>
      </c>
      <c r="AZ103" s="109">
        <f t="shared" si="95"/>
        <v>11596.480000000001</v>
      </c>
      <c r="BA103" s="9"/>
      <c r="BB103" s="9"/>
      <c r="BC103" s="9"/>
      <c r="BD103" s="9"/>
      <c r="BE103" s="45"/>
      <c r="BF103" s="45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</row>
    <row r="104" spans="1:93" s="4" customFormat="1" ht="320.25" outlineLevel="1" x14ac:dyDescent="0.25">
      <c r="A104" s="100">
        <f t="shared" si="142"/>
        <v>82</v>
      </c>
      <c r="B104" s="101" t="s">
        <v>252</v>
      </c>
      <c r="C104" s="102" t="s">
        <v>225</v>
      </c>
      <c r="D104" s="103" t="s">
        <v>19</v>
      </c>
      <c r="E104" s="104">
        <f t="shared" si="119"/>
        <v>733.17</v>
      </c>
      <c r="F104" s="105">
        <v>0</v>
      </c>
      <c r="G104" s="105">
        <f t="shared" si="77"/>
        <v>16.949152542372882</v>
      </c>
      <c r="H104" s="105">
        <v>20</v>
      </c>
      <c r="I104" s="105">
        <f t="shared" si="78"/>
        <v>0</v>
      </c>
      <c r="J104" s="104">
        <f>115.2+56.2</f>
        <v>171.4</v>
      </c>
      <c r="K104" s="105">
        <f t="shared" si="75"/>
        <v>12.711864406779661</v>
      </c>
      <c r="L104" s="105">
        <v>15</v>
      </c>
      <c r="M104" s="105">
        <f t="shared" si="79"/>
        <v>2571</v>
      </c>
      <c r="N104" s="106">
        <f>37+38.7+55.75+198</f>
        <v>329.45</v>
      </c>
      <c r="O104" s="105">
        <f t="shared" si="80"/>
        <v>6.6101694915254239</v>
      </c>
      <c r="P104" s="105">
        <v>7.8</v>
      </c>
      <c r="Q104" s="105">
        <f t="shared" si="81"/>
        <v>2569.71</v>
      </c>
      <c r="R104" s="104">
        <v>0</v>
      </c>
      <c r="S104" s="105">
        <f t="shared" si="82"/>
        <v>13.220338983050848</v>
      </c>
      <c r="T104" s="105">
        <v>15.6</v>
      </c>
      <c r="U104" s="105">
        <f t="shared" si="83"/>
        <v>0</v>
      </c>
      <c r="V104" s="105">
        <f>27.3</f>
        <v>27.3</v>
      </c>
      <c r="W104" s="105">
        <f t="shared" ref="W104" si="143">X104/1.18</f>
        <v>5.9322033898305087</v>
      </c>
      <c r="X104" s="105">
        <v>7</v>
      </c>
      <c r="Y104" s="105">
        <f t="shared" si="84"/>
        <v>191.1</v>
      </c>
      <c r="Z104" s="104">
        <f>19.1+101.02+24.6</f>
        <v>144.72</v>
      </c>
      <c r="AA104" s="105">
        <f t="shared" si="85"/>
        <v>5.5084745762711869</v>
      </c>
      <c r="AB104" s="105">
        <v>6.5</v>
      </c>
      <c r="AC104" s="105">
        <f t="shared" si="86"/>
        <v>940.68</v>
      </c>
      <c r="AD104" s="105">
        <v>0</v>
      </c>
      <c r="AE104" s="105">
        <f t="shared" si="87"/>
        <v>4.2372881355932206</v>
      </c>
      <c r="AF104" s="105">
        <v>5</v>
      </c>
      <c r="AG104" s="105">
        <f t="shared" si="88"/>
        <v>0</v>
      </c>
      <c r="AH104" s="106">
        <f>35.9+21.4</f>
        <v>57.3</v>
      </c>
      <c r="AI104" s="105">
        <f t="shared" si="89"/>
        <v>9.3220338983050848</v>
      </c>
      <c r="AJ104" s="105">
        <v>11</v>
      </c>
      <c r="AK104" s="105">
        <f t="shared" si="90"/>
        <v>630.29999999999995</v>
      </c>
      <c r="AL104" s="106">
        <v>3</v>
      </c>
      <c r="AM104" s="105">
        <f t="shared" si="91"/>
        <v>12.711864406779661</v>
      </c>
      <c r="AN104" s="105">
        <v>15</v>
      </c>
      <c r="AO104" s="105">
        <f t="shared" si="92"/>
        <v>45</v>
      </c>
      <c r="AP104" s="105">
        <f t="shared" si="114"/>
        <v>5887.9576271186452</v>
      </c>
      <c r="AQ104" s="105">
        <f t="shared" si="115"/>
        <v>6947.7900000000009</v>
      </c>
      <c r="AR104" s="106">
        <v>688.8</v>
      </c>
      <c r="AS104" s="105" t="s">
        <v>312</v>
      </c>
      <c r="AT104" s="107">
        <v>0</v>
      </c>
      <c r="AU104" s="107">
        <f t="shared" si="121"/>
        <v>5.0847457627118651</v>
      </c>
      <c r="AV104" s="107">
        <v>6</v>
      </c>
      <c r="AW104" s="107">
        <f t="shared" si="94"/>
        <v>3502.3728813559323</v>
      </c>
      <c r="AX104" s="107">
        <f t="shared" si="93"/>
        <v>4132.7999999999993</v>
      </c>
      <c r="AY104" s="108">
        <f t="shared" si="95"/>
        <v>9390.3305084745771</v>
      </c>
      <c r="AZ104" s="109">
        <f t="shared" si="95"/>
        <v>11080.59</v>
      </c>
      <c r="BA104" s="9"/>
      <c r="BB104" s="9"/>
      <c r="BC104" s="9"/>
      <c r="BD104" s="9"/>
      <c r="BE104" s="45"/>
      <c r="BF104" s="45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</row>
    <row r="105" spans="1:93" s="31" customFormat="1" ht="45.75" outlineLevel="1" x14ac:dyDescent="0.3">
      <c r="A105" s="149" t="s">
        <v>55</v>
      </c>
      <c r="B105" s="150"/>
      <c r="C105" s="150"/>
      <c r="D105" s="133"/>
      <c r="E105" s="104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11"/>
      <c r="AQ105" s="128"/>
      <c r="AR105" s="133"/>
      <c r="AS105" s="105"/>
      <c r="AT105" s="133"/>
      <c r="AU105" s="133"/>
      <c r="AV105" s="133"/>
      <c r="AW105" s="133"/>
      <c r="AX105" s="133"/>
      <c r="AY105" s="111"/>
      <c r="AZ105" s="112"/>
      <c r="BA105" s="30"/>
      <c r="BB105" s="30"/>
      <c r="BC105" s="30"/>
      <c r="BD105" s="30"/>
      <c r="BE105" s="30"/>
      <c r="BF105" s="30"/>
    </row>
    <row r="106" spans="1:93" s="5" customFormat="1" ht="45.75" outlineLevel="1" x14ac:dyDescent="0.25">
      <c r="A106" s="149" t="s">
        <v>57</v>
      </c>
      <c r="B106" s="150"/>
      <c r="C106" s="150"/>
      <c r="D106" s="133"/>
      <c r="E106" s="104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11"/>
      <c r="AQ106" s="111"/>
      <c r="AR106" s="133"/>
      <c r="AS106" s="105"/>
      <c r="AT106" s="133"/>
      <c r="AU106" s="133"/>
      <c r="AV106" s="133"/>
      <c r="AW106" s="133"/>
      <c r="AX106" s="133"/>
      <c r="AY106" s="111"/>
      <c r="AZ106" s="112"/>
      <c r="BA106" s="9"/>
      <c r="BB106" s="9"/>
      <c r="BC106" s="9"/>
      <c r="BD106" s="9"/>
      <c r="BE106" s="9"/>
      <c r="BF106" s="9"/>
    </row>
    <row r="107" spans="1:93" s="4" customFormat="1" ht="228.75" outlineLevel="1" x14ac:dyDescent="0.25">
      <c r="A107" s="100">
        <f>A104+1</f>
        <v>83</v>
      </c>
      <c r="B107" s="101" t="s">
        <v>253</v>
      </c>
      <c r="C107" s="102" t="s">
        <v>119</v>
      </c>
      <c r="D107" s="103" t="s">
        <v>19</v>
      </c>
      <c r="E107" s="104">
        <f t="shared" si="119"/>
        <v>1295.7</v>
      </c>
      <c r="F107" s="105">
        <v>0</v>
      </c>
      <c r="G107" s="105">
        <f t="shared" si="77"/>
        <v>16.949152542372882</v>
      </c>
      <c r="H107" s="105">
        <v>20</v>
      </c>
      <c r="I107" s="105">
        <f t="shared" si="78"/>
        <v>0</v>
      </c>
      <c r="J107" s="104">
        <f>224+271.7</f>
        <v>495.7</v>
      </c>
      <c r="K107" s="105">
        <f t="shared" si="75"/>
        <v>12.711864406779661</v>
      </c>
      <c r="L107" s="105">
        <v>15</v>
      </c>
      <c r="M107" s="105">
        <f t="shared" si="79"/>
        <v>7435.5</v>
      </c>
      <c r="N107" s="106">
        <f>177.5+47.5</f>
        <v>225</v>
      </c>
      <c r="O107" s="105">
        <f t="shared" si="80"/>
        <v>6.6101694915254239</v>
      </c>
      <c r="P107" s="105">
        <v>7.8</v>
      </c>
      <c r="Q107" s="105">
        <f t="shared" si="81"/>
        <v>1755</v>
      </c>
      <c r="R107" s="104">
        <v>65.099999999999994</v>
      </c>
      <c r="S107" s="105">
        <f t="shared" si="82"/>
        <v>13.220338983050848</v>
      </c>
      <c r="T107" s="105">
        <v>15.6</v>
      </c>
      <c r="U107" s="105">
        <f t="shared" si="83"/>
        <v>1015.5599999999998</v>
      </c>
      <c r="V107" s="105">
        <v>31.6</v>
      </c>
      <c r="W107" s="105">
        <v>4.2</v>
      </c>
      <c r="X107" s="105">
        <v>7</v>
      </c>
      <c r="Y107" s="105">
        <f t="shared" si="84"/>
        <v>221.20000000000002</v>
      </c>
      <c r="Z107" s="104">
        <f>135.8+216</f>
        <v>351.8</v>
      </c>
      <c r="AA107" s="105">
        <f t="shared" si="85"/>
        <v>5.5084745762711869</v>
      </c>
      <c r="AB107" s="105">
        <v>6.5</v>
      </c>
      <c r="AC107" s="105">
        <f t="shared" si="86"/>
        <v>2286.7000000000003</v>
      </c>
      <c r="AD107" s="105">
        <v>0</v>
      </c>
      <c r="AE107" s="105">
        <f t="shared" si="87"/>
        <v>4.2372881355932206</v>
      </c>
      <c r="AF107" s="105">
        <v>5</v>
      </c>
      <c r="AG107" s="105">
        <f t="shared" si="88"/>
        <v>0</v>
      </c>
      <c r="AH107" s="106">
        <v>98</v>
      </c>
      <c r="AI107" s="105">
        <f t="shared" si="89"/>
        <v>9.3220338983050848</v>
      </c>
      <c r="AJ107" s="105">
        <v>11</v>
      </c>
      <c r="AK107" s="105">
        <f t="shared" si="90"/>
        <v>1078</v>
      </c>
      <c r="AL107" s="106">
        <f>18.6+9.9</f>
        <v>28.5</v>
      </c>
      <c r="AM107" s="105">
        <f t="shared" si="91"/>
        <v>12.711864406779661</v>
      </c>
      <c r="AN107" s="105">
        <v>15</v>
      </c>
      <c r="AO107" s="105">
        <f t="shared" si="92"/>
        <v>427.5</v>
      </c>
      <c r="AP107" s="105">
        <f t="shared" si="114"/>
        <v>12050.389830508477</v>
      </c>
      <c r="AQ107" s="105">
        <f t="shared" si="115"/>
        <v>14219.460000000001</v>
      </c>
      <c r="AR107" s="106">
        <f>63.45*2+1054.05*2</f>
        <v>2235</v>
      </c>
      <c r="AS107" s="105" t="s">
        <v>312</v>
      </c>
      <c r="AT107" s="107">
        <v>0</v>
      </c>
      <c r="AU107" s="107">
        <f t="shared" si="121"/>
        <v>5.0847457627118651</v>
      </c>
      <c r="AV107" s="107">
        <v>6</v>
      </c>
      <c r="AW107" s="107">
        <f t="shared" si="94"/>
        <v>11364.406779661018</v>
      </c>
      <c r="AX107" s="107">
        <f t="shared" si="93"/>
        <v>13410</v>
      </c>
      <c r="AY107" s="108">
        <f t="shared" si="95"/>
        <v>23414.796610169495</v>
      </c>
      <c r="AZ107" s="109">
        <f t="shared" si="95"/>
        <v>27629.46</v>
      </c>
      <c r="BA107" s="9"/>
      <c r="BB107" s="9"/>
      <c r="BC107" s="9"/>
      <c r="BD107" s="9"/>
      <c r="BE107" s="45"/>
      <c r="BF107" s="45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</row>
    <row r="108" spans="1:93" s="4" customFormat="1" ht="228.75" outlineLevel="1" x14ac:dyDescent="0.25">
      <c r="A108" s="100">
        <f>A107+1</f>
        <v>84</v>
      </c>
      <c r="B108" s="101" t="s">
        <v>253</v>
      </c>
      <c r="C108" s="102" t="s">
        <v>120</v>
      </c>
      <c r="D108" s="103" t="s">
        <v>19</v>
      </c>
      <c r="E108" s="104">
        <f t="shared" si="119"/>
        <v>2144.8000000000002</v>
      </c>
      <c r="F108" s="105">
        <v>0</v>
      </c>
      <c r="G108" s="105">
        <f t="shared" si="77"/>
        <v>16.949152542372882</v>
      </c>
      <c r="H108" s="105">
        <v>20</v>
      </c>
      <c r="I108" s="105">
        <f t="shared" si="78"/>
        <v>0</v>
      </c>
      <c r="J108" s="104">
        <f>254.1+36.8+52.3</f>
        <v>343.2</v>
      </c>
      <c r="K108" s="105">
        <f t="shared" si="75"/>
        <v>12.711864406779661</v>
      </c>
      <c r="L108" s="105">
        <v>15</v>
      </c>
      <c r="M108" s="105">
        <f t="shared" si="79"/>
        <v>5148</v>
      </c>
      <c r="N108" s="106">
        <f>427.5-40.6+557.6+36.4</f>
        <v>980.9</v>
      </c>
      <c r="O108" s="105">
        <f t="shared" si="80"/>
        <v>6.6101694915254239</v>
      </c>
      <c r="P108" s="105">
        <v>7.8</v>
      </c>
      <c r="Q108" s="105">
        <f t="shared" si="81"/>
        <v>7651.0199999999995</v>
      </c>
      <c r="R108" s="104">
        <v>0</v>
      </c>
      <c r="S108" s="105">
        <f t="shared" si="82"/>
        <v>13.220338983050848</v>
      </c>
      <c r="T108" s="105">
        <v>15.6</v>
      </c>
      <c r="U108" s="105">
        <f t="shared" si="83"/>
        <v>0</v>
      </c>
      <c r="V108" s="105">
        <f>6.1+18.7</f>
        <v>24.799999999999997</v>
      </c>
      <c r="W108" s="105">
        <f t="shared" ref="W108" si="144">X108/1.18</f>
        <v>5.9322033898305087</v>
      </c>
      <c r="X108" s="105">
        <v>7</v>
      </c>
      <c r="Y108" s="105">
        <f t="shared" si="84"/>
        <v>173.59999999999997</v>
      </c>
      <c r="Z108" s="104">
        <f>126.6+26.4+18+20.3+141.1+13+35.6+69.1</f>
        <v>450.1</v>
      </c>
      <c r="AA108" s="105">
        <f t="shared" si="85"/>
        <v>5.5084745762711869</v>
      </c>
      <c r="AB108" s="105">
        <v>6.5</v>
      </c>
      <c r="AC108" s="105">
        <f t="shared" si="86"/>
        <v>2925.65</v>
      </c>
      <c r="AD108" s="105">
        <v>0</v>
      </c>
      <c r="AE108" s="105">
        <f t="shared" si="87"/>
        <v>4.2372881355932206</v>
      </c>
      <c r="AF108" s="105">
        <v>5</v>
      </c>
      <c r="AG108" s="105">
        <f t="shared" si="88"/>
        <v>0</v>
      </c>
      <c r="AH108" s="106">
        <f>33.9+301.4</f>
        <v>335.29999999999995</v>
      </c>
      <c r="AI108" s="105">
        <f t="shared" si="89"/>
        <v>9.3220338983050848</v>
      </c>
      <c r="AJ108" s="105">
        <v>11</v>
      </c>
      <c r="AK108" s="105">
        <f t="shared" si="90"/>
        <v>3688.2999999999993</v>
      </c>
      <c r="AL108" s="106">
        <v>10.5</v>
      </c>
      <c r="AM108" s="105">
        <f t="shared" si="91"/>
        <v>12.711864406779661</v>
      </c>
      <c r="AN108" s="105">
        <v>15</v>
      </c>
      <c r="AO108" s="105">
        <f t="shared" si="92"/>
        <v>157.5</v>
      </c>
      <c r="AP108" s="105">
        <f t="shared" si="114"/>
        <v>16732.262711864409</v>
      </c>
      <c r="AQ108" s="105">
        <f t="shared" si="115"/>
        <v>19744.07</v>
      </c>
      <c r="AR108" s="106">
        <f>252.3*3+50</f>
        <v>806.90000000000009</v>
      </c>
      <c r="AS108" s="105" t="s">
        <v>312</v>
      </c>
      <c r="AT108" s="107">
        <v>0</v>
      </c>
      <c r="AU108" s="107">
        <f t="shared" si="121"/>
        <v>5.0847457627118651</v>
      </c>
      <c r="AV108" s="107">
        <v>6</v>
      </c>
      <c r="AW108" s="107">
        <f t="shared" si="94"/>
        <v>4102.8813559322043</v>
      </c>
      <c r="AX108" s="107">
        <f t="shared" si="93"/>
        <v>4841.4000000000005</v>
      </c>
      <c r="AY108" s="108">
        <f t="shared" si="95"/>
        <v>20835.144067796613</v>
      </c>
      <c r="AZ108" s="109">
        <f t="shared" si="95"/>
        <v>24585.47</v>
      </c>
      <c r="BA108" s="9"/>
      <c r="BB108" s="9"/>
      <c r="BC108" s="9"/>
      <c r="BD108" s="9"/>
      <c r="BE108" s="45"/>
      <c r="BF108" s="45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</row>
    <row r="109" spans="1:93" s="5" customFormat="1" ht="45.75" outlineLevel="1" x14ac:dyDescent="0.25">
      <c r="A109" s="151" t="s">
        <v>234</v>
      </c>
      <c r="B109" s="152"/>
      <c r="C109" s="152"/>
      <c r="D109" s="110"/>
      <c r="E109" s="104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1"/>
      <c r="AQ109" s="111"/>
      <c r="AR109" s="110"/>
      <c r="AS109" s="105"/>
      <c r="AT109" s="110"/>
      <c r="AU109" s="110"/>
      <c r="AV109" s="110"/>
      <c r="AW109" s="110"/>
      <c r="AX109" s="110"/>
      <c r="AY109" s="111"/>
      <c r="AZ109" s="130"/>
      <c r="BA109" s="9"/>
      <c r="BB109" s="9"/>
      <c r="BC109" s="9"/>
      <c r="BD109" s="9"/>
      <c r="BE109" s="9"/>
      <c r="BF109" s="9"/>
    </row>
    <row r="110" spans="1:93" s="4" customFormat="1" ht="183" outlineLevel="1" x14ac:dyDescent="0.25">
      <c r="A110" s="100">
        <f>A108+1</f>
        <v>85</v>
      </c>
      <c r="B110" s="101" t="s">
        <v>252</v>
      </c>
      <c r="C110" s="102" t="s">
        <v>121</v>
      </c>
      <c r="D110" s="103" t="s">
        <v>19</v>
      </c>
      <c r="E110" s="104">
        <f t="shared" si="119"/>
        <v>685.6</v>
      </c>
      <c r="F110" s="105">
        <v>0</v>
      </c>
      <c r="G110" s="105">
        <f t="shared" si="77"/>
        <v>16.949152542372882</v>
      </c>
      <c r="H110" s="105">
        <v>20</v>
      </c>
      <c r="I110" s="105">
        <f t="shared" si="78"/>
        <v>0</v>
      </c>
      <c r="J110" s="104">
        <f>39.7+132.2+10.9+87.2</f>
        <v>270</v>
      </c>
      <c r="K110" s="105">
        <f t="shared" si="75"/>
        <v>12.711864406779661</v>
      </c>
      <c r="L110" s="105">
        <v>15</v>
      </c>
      <c r="M110" s="105">
        <f t="shared" si="79"/>
        <v>4050</v>
      </c>
      <c r="N110" s="106">
        <v>0</v>
      </c>
      <c r="O110" s="105">
        <f t="shared" si="80"/>
        <v>6.6101694915254239</v>
      </c>
      <c r="P110" s="105">
        <v>7.8</v>
      </c>
      <c r="Q110" s="105">
        <f t="shared" si="81"/>
        <v>0</v>
      </c>
      <c r="R110" s="104">
        <v>0</v>
      </c>
      <c r="S110" s="105">
        <f t="shared" si="82"/>
        <v>13.220338983050848</v>
      </c>
      <c r="T110" s="105">
        <v>15.6</v>
      </c>
      <c r="U110" s="105">
        <f t="shared" si="83"/>
        <v>0</v>
      </c>
      <c r="V110" s="105">
        <f>131.4</f>
        <v>131.4</v>
      </c>
      <c r="W110" s="105">
        <v>4.2</v>
      </c>
      <c r="X110" s="105">
        <v>7</v>
      </c>
      <c r="Y110" s="105">
        <f t="shared" si="84"/>
        <v>919.80000000000007</v>
      </c>
      <c r="Z110" s="104">
        <f>68.1+84+5.9+17.9+33.2+37.9+20</f>
        <v>267</v>
      </c>
      <c r="AA110" s="105">
        <f t="shared" si="85"/>
        <v>5.5084745762711869</v>
      </c>
      <c r="AB110" s="105">
        <v>6.5</v>
      </c>
      <c r="AC110" s="105">
        <f t="shared" si="86"/>
        <v>1735.5</v>
      </c>
      <c r="AD110" s="105">
        <v>0</v>
      </c>
      <c r="AE110" s="105">
        <f t="shared" si="87"/>
        <v>4.2372881355932206</v>
      </c>
      <c r="AF110" s="105">
        <v>5</v>
      </c>
      <c r="AG110" s="105">
        <f t="shared" si="88"/>
        <v>0</v>
      </c>
      <c r="AH110" s="106">
        <v>0</v>
      </c>
      <c r="AI110" s="105">
        <f t="shared" si="89"/>
        <v>9.3220338983050848</v>
      </c>
      <c r="AJ110" s="105">
        <v>11</v>
      </c>
      <c r="AK110" s="105">
        <f t="shared" si="90"/>
        <v>0</v>
      </c>
      <c r="AL110" s="106">
        <f>4.3+2.1+10.8</f>
        <v>17.200000000000003</v>
      </c>
      <c r="AM110" s="105">
        <f t="shared" si="91"/>
        <v>12.711864406779661</v>
      </c>
      <c r="AN110" s="105">
        <v>15</v>
      </c>
      <c r="AO110" s="105">
        <f t="shared" si="92"/>
        <v>258.00000000000006</v>
      </c>
      <c r="AP110" s="105">
        <f t="shared" si="114"/>
        <v>5901.1016949152545</v>
      </c>
      <c r="AQ110" s="105">
        <f t="shared" si="115"/>
        <v>6963.3</v>
      </c>
      <c r="AR110" s="106">
        <f>22+786</f>
        <v>808</v>
      </c>
      <c r="AS110" s="105" t="s">
        <v>312</v>
      </c>
      <c r="AT110" s="107">
        <v>0</v>
      </c>
      <c r="AU110" s="107">
        <f t="shared" si="121"/>
        <v>5.0847457627118651</v>
      </c>
      <c r="AV110" s="107">
        <v>6</v>
      </c>
      <c r="AW110" s="107">
        <f t="shared" si="94"/>
        <v>4108.4745762711873</v>
      </c>
      <c r="AX110" s="107">
        <f t="shared" si="93"/>
        <v>4848</v>
      </c>
      <c r="AY110" s="108">
        <f t="shared" si="95"/>
        <v>10009.576271186441</v>
      </c>
      <c r="AZ110" s="109">
        <f t="shared" si="95"/>
        <v>11811.3</v>
      </c>
      <c r="BA110" s="9"/>
      <c r="BB110" s="9"/>
      <c r="BC110" s="9"/>
      <c r="BD110" s="9"/>
      <c r="BE110" s="45"/>
      <c r="BF110" s="45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</row>
    <row r="111" spans="1:93" s="4" customFormat="1" ht="183" outlineLevel="1" x14ac:dyDescent="0.25">
      <c r="A111" s="100">
        <f>A110+1</f>
        <v>86</v>
      </c>
      <c r="B111" s="101" t="s">
        <v>252</v>
      </c>
      <c r="C111" s="102" t="s">
        <v>122</v>
      </c>
      <c r="D111" s="103" t="s">
        <v>19</v>
      </c>
      <c r="E111" s="104">
        <f t="shared" si="119"/>
        <v>2314.5</v>
      </c>
      <c r="F111" s="105">
        <v>0</v>
      </c>
      <c r="G111" s="105">
        <f t="shared" si="77"/>
        <v>16.949152542372882</v>
      </c>
      <c r="H111" s="105">
        <v>20</v>
      </c>
      <c r="I111" s="105">
        <f t="shared" si="78"/>
        <v>0</v>
      </c>
      <c r="J111" s="104">
        <v>336</v>
      </c>
      <c r="K111" s="105">
        <f t="shared" si="75"/>
        <v>12.711864406779661</v>
      </c>
      <c r="L111" s="105">
        <v>15</v>
      </c>
      <c r="M111" s="105">
        <f t="shared" si="79"/>
        <v>5040</v>
      </c>
      <c r="N111" s="106">
        <f>792.9+277.7+343+39</f>
        <v>1452.6</v>
      </c>
      <c r="O111" s="105">
        <f t="shared" si="80"/>
        <v>6.6101694915254239</v>
      </c>
      <c r="P111" s="105">
        <v>7.8</v>
      </c>
      <c r="Q111" s="105">
        <f t="shared" si="81"/>
        <v>11330.279999999999</v>
      </c>
      <c r="R111" s="104">
        <v>0</v>
      </c>
      <c r="S111" s="105">
        <f t="shared" si="82"/>
        <v>13.220338983050848</v>
      </c>
      <c r="T111" s="105">
        <v>15.6</v>
      </c>
      <c r="U111" s="105">
        <f t="shared" si="83"/>
        <v>0</v>
      </c>
      <c r="V111" s="105">
        <f>56.7+16.5+31.8</f>
        <v>105</v>
      </c>
      <c r="W111" s="105">
        <f t="shared" ref="W111:W112" si="145">X111/1.18</f>
        <v>5.9322033898305087</v>
      </c>
      <c r="X111" s="105">
        <v>7</v>
      </c>
      <c r="Y111" s="105">
        <f t="shared" si="84"/>
        <v>735</v>
      </c>
      <c r="Z111" s="104">
        <f>244+52.4+16.5+16.5</f>
        <v>329.4</v>
      </c>
      <c r="AA111" s="105">
        <f t="shared" si="85"/>
        <v>5.5084745762711869</v>
      </c>
      <c r="AB111" s="105">
        <v>6.5</v>
      </c>
      <c r="AC111" s="105">
        <f t="shared" si="86"/>
        <v>2141.1</v>
      </c>
      <c r="AD111" s="105">
        <v>0</v>
      </c>
      <c r="AE111" s="105">
        <f t="shared" si="87"/>
        <v>4.2372881355932206</v>
      </c>
      <c r="AF111" s="105">
        <v>5</v>
      </c>
      <c r="AG111" s="105">
        <f t="shared" si="88"/>
        <v>0</v>
      </c>
      <c r="AH111" s="106">
        <f>54+17.5</f>
        <v>71.5</v>
      </c>
      <c r="AI111" s="105">
        <f t="shared" si="89"/>
        <v>9.3220338983050848</v>
      </c>
      <c r="AJ111" s="105">
        <v>11</v>
      </c>
      <c r="AK111" s="105">
        <f t="shared" si="90"/>
        <v>786.5</v>
      </c>
      <c r="AL111" s="106">
        <f>11.7+4.1+4.2</f>
        <v>20</v>
      </c>
      <c r="AM111" s="105">
        <f t="shared" si="91"/>
        <v>12.711864406779661</v>
      </c>
      <c r="AN111" s="105">
        <v>15</v>
      </c>
      <c r="AO111" s="105">
        <f t="shared" si="92"/>
        <v>300</v>
      </c>
      <c r="AP111" s="105">
        <f t="shared" si="114"/>
        <v>17231.254237288133</v>
      </c>
      <c r="AQ111" s="105">
        <f t="shared" si="115"/>
        <v>20332.879999999997</v>
      </c>
      <c r="AR111" s="106">
        <f>15*2+315+415</f>
        <v>760</v>
      </c>
      <c r="AS111" s="105" t="s">
        <v>312</v>
      </c>
      <c r="AT111" s="107">
        <v>0</v>
      </c>
      <c r="AU111" s="107">
        <f t="shared" si="121"/>
        <v>5.0847457627118651</v>
      </c>
      <c r="AV111" s="107">
        <v>6</v>
      </c>
      <c r="AW111" s="107">
        <f t="shared" ref="AW111" si="146">AU111*AR111</f>
        <v>3864.4067796610175</v>
      </c>
      <c r="AX111" s="107">
        <f t="shared" ref="AX111" si="147">AV111*AR111</f>
        <v>4560</v>
      </c>
      <c r="AY111" s="108">
        <f t="shared" si="95"/>
        <v>21095.661016949151</v>
      </c>
      <c r="AZ111" s="109">
        <f t="shared" si="95"/>
        <v>24892.879999999997</v>
      </c>
      <c r="BA111" s="9"/>
      <c r="BB111" s="9"/>
      <c r="BC111" s="9"/>
      <c r="BD111" s="9"/>
      <c r="BE111" s="45"/>
      <c r="BF111" s="45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</row>
    <row r="112" spans="1:93" s="4" customFormat="1" ht="228.75" outlineLevel="1" x14ac:dyDescent="0.25">
      <c r="A112" s="100">
        <f t="shared" ref="A112:A117" si="148">A111+1</f>
        <v>87</v>
      </c>
      <c r="B112" s="101" t="s">
        <v>252</v>
      </c>
      <c r="C112" s="102" t="s">
        <v>123</v>
      </c>
      <c r="D112" s="103" t="s">
        <v>19</v>
      </c>
      <c r="E112" s="104">
        <f t="shared" si="119"/>
        <v>609.6</v>
      </c>
      <c r="F112" s="105">
        <v>0</v>
      </c>
      <c r="G112" s="105">
        <f t="shared" si="77"/>
        <v>16.949152542372882</v>
      </c>
      <c r="H112" s="105">
        <v>20</v>
      </c>
      <c r="I112" s="105">
        <f t="shared" si="78"/>
        <v>0</v>
      </c>
      <c r="J112" s="104">
        <f>0</f>
        <v>0</v>
      </c>
      <c r="K112" s="105">
        <f t="shared" si="75"/>
        <v>12.711864406779661</v>
      </c>
      <c r="L112" s="105">
        <v>15</v>
      </c>
      <c r="M112" s="105">
        <f t="shared" si="79"/>
        <v>0</v>
      </c>
      <c r="N112" s="106">
        <f>10.4+62.4+68.7+42.5+195</f>
        <v>379</v>
      </c>
      <c r="O112" s="105">
        <f t="shared" si="80"/>
        <v>6.6101694915254239</v>
      </c>
      <c r="P112" s="105">
        <v>7.8</v>
      </c>
      <c r="Q112" s="105">
        <f t="shared" si="81"/>
        <v>2956.2</v>
      </c>
      <c r="R112" s="104">
        <v>0</v>
      </c>
      <c r="S112" s="105">
        <f t="shared" si="82"/>
        <v>13.220338983050848</v>
      </c>
      <c r="T112" s="105">
        <v>15.6</v>
      </c>
      <c r="U112" s="105">
        <f t="shared" si="83"/>
        <v>0</v>
      </c>
      <c r="V112" s="105">
        <v>40.700000000000003</v>
      </c>
      <c r="W112" s="105">
        <f t="shared" si="145"/>
        <v>5.9322033898305087</v>
      </c>
      <c r="X112" s="105">
        <v>7</v>
      </c>
      <c r="Y112" s="105">
        <f t="shared" si="84"/>
        <v>284.90000000000003</v>
      </c>
      <c r="Z112" s="104">
        <f>38.6+32+38.6+17.8+38.6</f>
        <v>165.6</v>
      </c>
      <c r="AA112" s="105">
        <f t="shared" si="85"/>
        <v>5.5084745762711869</v>
      </c>
      <c r="AB112" s="105">
        <v>6.5</v>
      </c>
      <c r="AC112" s="105">
        <f t="shared" si="86"/>
        <v>1076.3999999999999</v>
      </c>
      <c r="AD112" s="105">
        <v>0</v>
      </c>
      <c r="AE112" s="105">
        <f t="shared" si="87"/>
        <v>4.2372881355932206</v>
      </c>
      <c r="AF112" s="105">
        <v>5</v>
      </c>
      <c r="AG112" s="105">
        <f t="shared" si="88"/>
        <v>0</v>
      </c>
      <c r="AH112" s="106">
        <v>10.1</v>
      </c>
      <c r="AI112" s="105">
        <f t="shared" si="89"/>
        <v>9.3220338983050848</v>
      </c>
      <c r="AJ112" s="105">
        <v>11</v>
      </c>
      <c r="AK112" s="105">
        <f t="shared" si="90"/>
        <v>111.1</v>
      </c>
      <c r="AL112" s="106">
        <f>4.5+4.6+5.1</f>
        <v>14.2</v>
      </c>
      <c r="AM112" s="105">
        <f t="shared" si="91"/>
        <v>12.711864406779661</v>
      </c>
      <c r="AN112" s="105">
        <v>15</v>
      </c>
      <c r="AO112" s="105">
        <f t="shared" si="92"/>
        <v>213</v>
      </c>
      <c r="AP112" s="105">
        <f t="shared" si="114"/>
        <v>3933.5593220338988</v>
      </c>
      <c r="AQ112" s="105">
        <f t="shared" si="115"/>
        <v>4641.6000000000004</v>
      </c>
      <c r="AR112" s="106">
        <v>40</v>
      </c>
      <c r="AS112" s="105" t="s">
        <v>312</v>
      </c>
      <c r="AT112" s="107">
        <v>0</v>
      </c>
      <c r="AU112" s="107">
        <f t="shared" si="121"/>
        <v>5.0847457627118651</v>
      </c>
      <c r="AV112" s="107">
        <v>6</v>
      </c>
      <c r="AW112" s="107">
        <f t="shared" si="94"/>
        <v>203.3898305084746</v>
      </c>
      <c r="AX112" s="107">
        <f t="shared" si="93"/>
        <v>240</v>
      </c>
      <c r="AY112" s="108">
        <f t="shared" si="95"/>
        <v>4136.9491525423737</v>
      </c>
      <c r="AZ112" s="109">
        <f t="shared" si="95"/>
        <v>4881.6000000000004</v>
      </c>
      <c r="BA112" s="9"/>
      <c r="BB112" s="9"/>
      <c r="BC112" s="9"/>
      <c r="BD112" s="9"/>
      <c r="BE112" s="45"/>
      <c r="BF112" s="45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</row>
    <row r="113" spans="1:93" s="4" customFormat="1" ht="320.25" outlineLevel="1" x14ac:dyDescent="0.25">
      <c r="A113" s="100">
        <f t="shared" si="148"/>
        <v>88</v>
      </c>
      <c r="B113" s="101" t="s">
        <v>252</v>
      </c>
      <c r="C113" s="102" t="s">
        <v>124</v>
      </c>
      <c r="D113" s="103" t="s">
        <v>19</v>
      </c>
      <c r="E113" s="104">
        <f t="shared" si="119"/>
        <v>158.5</v>
      </c>
      <c r="F113" s="105">
        <v>0</v>
      </c>
      <c r="G113" s="105">
        <f t="shared" si="77"/>
        <v>16.949152542372882</v>
      </c>
      <c r="H113" s="105">
        <v>20</v>
      </c>
      <c r="I113" s="105">
        <f t="shared" si="78"/>
        <v>0</v>
      </c>
      <c r="J113" s="104">
        <v>0</v>
      </c>
      <c r="K113" s="105">
        <f t="shared" si="75"/>
        <v>12.711864406779661</v>
      </c>
      <c r="L113" s="105">
        <v>15</v>
      </c>
      <c r="M113" s="105">
        <f t="shared" si="79"/>
        <v>0</v>
      </c>
      <c r="N113" s="106">
        <f>115+10.4</f>
        <v>125.4</v>
      </c>
      <c r="O113" s="105">
        <f t="shared" si="80"/>
        <v>6.6101694915254239</v>
      </c>
      <c r="P113" s="105">
        <v>7.8</v>
      </c>
      <c r="Q113" s="105">
        <f t="shared" si="81"/>
        <v>978.12</v>
      </c>
      <c r="R113" s="104">
        <v>0</v>
      </c>
      <c r="S113" s="105">
        <f t="shared" si="82"/>
        <v>13.220338983050848</v>
      </c>
      <c r="T113" s="105">
        <v>15.6</v>
      </c>
      <c r="U113" s="105">
        <f t="shared" si="83"/>
        <v>0</v>
      </c>
      <c r="V113" s="105">
        <v>5</v>
      </c>
      <c r="W113" s="105">
        <v>4.2</v>
      </c>
      <c r="X113" s="105">
        <v>7</v>
      </c>
      <c r="Y113" s="105">
        <f t="shared" si="84"/>
        <v>35</v>
      </c>
      <c r="Z113" s="104">
        <f>13.5+11</f>
        <v>24.5</v>
      </c>
      <c r="AA113" s="105">
        <f t="shared" si="85"/>
        <v>5.5084745762711869</v>
      </c>
      <c r="AB113" s="105">
        <v>6.5</v>
      </c>
      <c r="AC113" s="105">
        <f t="shared" si="86"/>
        <v>159.25</v>
      </c>
      <c r="AD113" s="105">
        <v>0</v>
      </c>
      <c r="AE113" s="105">
        <f t="shared" si="87"/>
        <v>4.2372881355932206</v>
      </c>
      <c r="AF113" s="105">
        <v>5</v>
      </c>
      <c r="AG113" s="105">
        <f t="shared" si="88"/>
        <v>0</v>
      </c>
      <c r="AH113" s="106">
        <v>0</v>
      </c>
      <c r="AI113" s="105">
        <f t="shared" si="89"/>
        <v>9.3220338983050848</v>
      </c>
      <c r="AJ113" s="105">
        <v>11</v>
      </c>
      <c r="AK113" s="105">
        <f t="shared" si="90"/>
        <v>0</v>
      </c>
      <c r="AL113" s="106">
        <v>3.6</v>
      </c>
      <c r="AM113" s="105">
        <f t="shared" si="91"/>
        <v>12.711864406779661</v>
      </c>
      <c r="AN113" s="105">
        <v>15</v>
      </c>
      <c r="AO113" s="105">
        <f t="shared" si="92"/>
        <v>54</v>
      </c>
      <c r="AP113" s="105">
        <f t="shared" si="114"/>
        <v>1039.2966101694915</v>
      </c>
      <c r="AQ113" s="105">
        <f t="shared" si="115"/>
        <v>1226.3699999999999</v>
      </c>
      <c r="AR113" s="106">
        <v>80</v>
      </c>
      <c r="AS113" s="105" t="s">
        <v>312</v>
      </c>
      <c r="AT113" s="107">
        <v>0</v>
      </c>
      <c r="AU113" s="107">
        <f t="shared" si="121"/>
        <v>5.0847457627118651</v>
      </c>
      <c r="AV113" s="107">
        <v>6</v>
      </c>
      <c r="AW113" s="107">
        <f t="shared" si="94"/>
        <v>406.77966101694921</v>
      </c>
      <c r="AX113" s="107">
        <f t="shared" si="93"/>
        <v>480</v>
      </c>
      <c r="AY113" s="108">
        <f t="shared" si="95"/>
        <v>1446.0762711864406</v>
      </c>
      <c r="AZ113" s="109">
        <f t="shared" si="95"/>
        <v>1706.37</v>
      </c>
      <c r="BA113" s="9"/>
      <c r="BB113" s="9"/>
      <c r="BC113" s="9"/>
      <c r="BD113" s="9"/>
      <c r="BE113" s="45"/>
      <c r="BF113" s="45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</row>
    <row r="114" spans="1:93" s="4" customFormat="1" ht="274.5" outlineLevel="1" x14ac:dyDescent="0.25">
      <c r="A114" s="100">
        <f t="shared" si="148"/>
        <v>89</v>
      </c>
      <c r="B114" s="101" t="s">
        <v>252</v>
      </c>
      <c r="C114" s="102" t="s">
        <v>230</v>
      </c>
      <c r="D114" s="103" t="s">
        <v>19</v>
      </c>
      <c r="E114" s="104">
        <f t="shared" si="119"/>
        <v>505.20000000000005</v>
      </c>
      <c r="F114" s="105">
        <v>0</v>
      </c>
      <c r="G114" s="105">
        <f t="shared" si="77"/>
        <v>16.949152542372882</v>
      </c>
      <c r="H114" s="105">
        <v>20</v>
      </c>
      <c r="I114" s="105">
        <f t="shared" si="78"/>
        <v>0</v>
      </c>
      <c r="J114" s="104">
        <f>87.5+31.1</f>
        <v>118.6</v>
      </c>
      <c r="K114" s="105">
        <f t="shared" si="75"/>
        <v>12.711864406779661</v>
      </c>
      <c r="L114" s="105">
        <v>15</v>
      </c>
      <c r="M114" s="105">
        <f t="shared" si="79"/>
        <v>1779</v>
      </c>
      <c r="N114" s="106">
        <f>135.7+118.3</f>
        <v>254</v>
      </c>
      <c r="O114" s="105">
        <f t="shared" si="80"/>
        <v>6.6101694915254239</v>
      </c>
      <c r="P114" s="105">
        <v>7.8</v>
      </c>
      <c r="Q114" s="105">
        <f t="shared" si="81"/>
        <v>1981.2</v>
      </c>
      <c r="R114" s="104">
        <v>0</v>
      </c>
      <c r="S114" s="105">
        <f t="shared" si="82"/>
        <v>13.220338983050848</v>
      </c>
      <c r="T114" s="105">
        <v>15.6</v>
      </c>
      <c r="U114" s="105">
        <f t="shared" si="83"/>
        <v>0</v>
      </c>
      <c r="V114" s="105">
        <v>14.5</v>
      </c>
      <c r="W114" s="105">
        <f t="shared" ref="W114:W116" si="149">X114/1.18</f>
        <v>5.9322033898305087</v>
      </c>
      <c r="X114" s="105">
        <v>7</v>
      </c>
      <c r="Y114" s="105">
        <f t="shared" si="84"/>
        <v>101.5</v>
      </c>
      <c r="Z114" s="104">
        <f>40.1+23.4+11.8+40.3</f>
        <v>115.6</v>
      </c>
      <c r="AA114" s="105">
        <f t="shared" si="85"/>
        <v>5.5084745762711869</v>
      </c>
      <c r="AB114" s="105">
        <v>6.5</v>
      </c>
      <c r="AC114" s="105">
        <f t="shared" si="86"/>
        <v>751.4</v>
      </c>
      <c r="AD114" s="105">
        <v>0</v>
      </c>
      <c r="AE114" s="105">
        <f t="shared" si="87"/>
        <v>4.2372881355932206</v>
      </c>
      <c r="AF114" s="105">
        <v>5</v>
      </c>
      <c r="AG114" s="105">
        <f t="shared" si="88"/>
        <v>0</v>
      </c>
      <c r="AH114" s="106">
        <v>0</v>
      </c>
      <c r="AI114" s="105">
        <f t="shared" si="89"/>
        <v>9.3220338983050848</v>
      </c>
      <c r="AJ114" s="105">
        <v>11</v>
      </c>
      <c r="AK114" s="105">
        <f t="shared" si="90"/>
        <v>0</v>
      </c>
      <c r="AL114" s="106">
        <v>2.5</v>
      </c>
      <c r="AM114" s="105">
        <f t="shared" si="91"/>
        <v>12.711864406779661</v>
      </c>
      <c r="AN114" s="105">
        <v>15</v>
      </c>
      <c r="AO114" s="105">
        <f t="shared" si="92"/>
        <v>37.5</v>
      </c>
      <c r="AP114" s="105">
        <f t="shared" si="114"/>
        <v>3941.1864406779659</v>
      </c>
      <c r="AQ114" s="105">
        <f t="shared" si="115"/>
        <v>4650.5999999999995</v>
      </c>
      <c r="AR114" s="106">
        <f>60+190</f>
        <v>250</v>
      </c>
      <c r="AS114" s="105" t="s">
        <v>312</v>
      </c>
      <c r="AT114" s="107">
        <v>0</v>
      </c>
      <c r="AU114" s="107">
        <f t="shared" si="121"/>
        <v>5.0847457627118651</v>
      </c>
      <c r="AV114" s="107">
        <v>6</v>
      </c>
      <c r="AW114" s="107">
        <f t="shared" si="94"/>
        <v>1271.1864406779662</v>
      </c>
      <c r="AX114" s="107">
        <f t="shared" si="93"/>
        <v>1500</v>
      </c>
      <c r="AY114" s="108">
        <f t="shared" si="95"/>
        <v>5212.3728813559319</v>
      </c>
      <c r="AZ114" s="109">
        <f t="shared" si="95"/>
        <v>6150.5999999999995</v>
      </c>
      <c r="BA114" s="9"/>
      <c r="BB114" s="9"/>
      <c r="BC114" s="9"/>
      <c r="BD114" s="9"/>
      <c r="BE114" s="45"/>
      <c r="BF114" s="45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</row>
    <row r="115" spans="1:93" s="4" customFormat="1" ht="274.5" outlineLevel="1" x14ac:dyDescent="0.25">
      <c r="A115" s="100">
        <f t="shared" si="148"/>
        <v>90</v>
      </c>
      <c r="B115" s="101" t="s">
        <v>252</v>
      </c>
      <c r="C115" s="102" t="s">
        <v>125</v>
      </c>
      <c r="D115" s="103" t="s">
        <v>19</v>
      </c>
      <c r="E115" s="104">
        <f t="shared" si="119"/>
        <v>718.4</v>
      </c>
      <c r="F115" s="105">
        <v>0</v>
      </c>
      <c r="G115" s="105">
        <f t="shared" si="77"/>
        <v>16.949152542372882</v>
      </c>
      <c r="H115" s="105">
        <v>20</v>
      </c>
      <c r="I115" s="105">
        <f t="shared" si="78"/>
        <v>0</v>
      </c>
      <c r="J115" s="104">
        <v>279.10000000000002</v>
      </c>
      <c r="K115" s="105">
        <f t="shared" si="75"/>
        <v>12.711864406779661</v>
      </c>
      <c r="L115" s="105">
        <v>15</v>
      </c>
      <c r="M115" s="105">
        <f t="shared" si="79"/>
        <v>4186.5</v>
      </c>
      <c r="N115" s="106">
        <v>109.7</v>
      </c>
      <c r="O115" s="105">
        <f t="shared" si="80"/>
        <v>6.6101694915254239</v>
      </c>
      <c r="P115" s="105">
        <v>7.8</v>
      </c>
      <c r="Q115" s="105">
        <f t="shared" si="81"/>
        <v>855.66</v>
      </c>
      <c r="R115" s="104">
        <v>0</v>
      </c>
      <c r="S115" s="105">
        <f t="shared" si="82"/>
        <v>13.220338983050848</v>
      </c>
      <c r="T115" s="105">
        <v>15.6</v>
      </c>
      <c r="U115" s="105">
        <f t="shared" si="83"/>
        <v>0</v>
      </c>
      <c r="V115" s="105">
        <v>0</v>
      </c>
      <c r="W115" s="105">
        <f t="shared" si="149"/>
        <v>5.9322033898305087</v>
      </c>
      <c r="X115" s="105">
        <v>7</v>
      </c>
      <c r="Y115" s="105">
        <f t="shared" si="84"/>
        <v>0</v>
      </c>
      <c r="Z115" s="104">
        <v>244.1</v>
      </c>
      <c r="AA115" s="105">
        <f t="shared" si="85"/>
        <v>5.5084745762711869</v>
      </c>
      <c r="AB115" s="105">
        <v>6.5</v>
      </c>
      <c r="AC115" s="105">
        <f t="shared" si="86"/>
        <v>1586.6499999999999</v>
      </c>
      <c r="AD115" s="105">
        <v>0</v>
      </c>
      <c r="AE115" s="105">
        <f t="shared" si="87"/>
        <v>4.2372881355932206</v>
      </c>
      <c r="AF115" s="105">
        <v>5</v>
      </c>
      <c r="AG115" s="105">
        <f t="shared" si="88"/>
        <v>0</v>
      </c>
      <c r="AH115" s="106">
        <v>60.5</v>
      </c>
      <c r="AI115" s="105">
        <f t="shared" si="89"/>
        <v>9.3220338983050848</v>
      </c>
      <c r="AJ115" s="105">
        <v>11</v>
      </c>
      <c r="AK115" s="105">
        <f t="shared" si="90"/>
        <v>665.5</v>
      </c>
      <c r="AL115" s="106">
        <v>25</v>
      </c>
      <c r="AM115" s="105">
        <f t="shared" si="91"/>
        <v>12.711864406779661</v>
      </c>
      <c r="AN115" s="105">
        <v>15</v>
      </c>
      <c r="AO115" s="105">
        <f t="shared" si="92"/>
        <v>375</v>
      </c>
      <c r="AP115" s="105">
        <f t="shared" si="114"/>
        <v>6499.4152542372876</v>
      </c>
      <c r="AQ115" s="105">
        <f t="shared" si="115"/>
        <v>7669.3099999999995</v>
      </c>
      <c r="AR115" s="106">
        <v>634</v>
      </c>
      <c r="AS115" s="105" t="s">
        <v>312</v>
      </c>
      <c r="AT115" s="107">
        <v>0</v>
      </c>
      <c r="AU115" s="107">
        <f t="shared" si="121"/>
        <v>5.0847457627118651</v>
      </c>
      <c r="AV115" s="107">
        <v>6</v>
      </c>
      <c r="AW115" s="107">
        <f t="shared" si="94"/>
        <v>3223.7288135593226</v>
      </c>
      <c r="AX115" s="107">
        <f t="shared" si="93"/>
        <v>3804</v>
      </c>
      <c r="AY115" s="108">
        <f t="shared" si="95"/>
        <v>9723.1440677966093</v>
      </c>
      <c r="AZ115" s="109">
        <f t="shared" si="95"/>
        <v>11473.31</v>
      </c>
      <c r="BA115" s="9"/>
      <c r="BB115" s="9"/>
      <c r="BC115" s="9"/>
      <c r="BD115" s="9"/>
      <c r="BE115" s="45"/>
      <c r="BF115" s="45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</row>
    <row r="116" spans="1:93" s="4" customFormat="1" ht="366" outlineLevel="1" x14ac:dyDescent="0.25">
      <c r="A116" s="100">
        <f t="shared" si="148"/>
        <v>91</v>
      </c>
      <c r="B116" s="101" t="s">
        <v>252</v>
      </c>
      <c r="C116" s="102" t="s">
        <v>126</v>
      </c>
      <c r="D116" s="103" t="s">
        <v>19</v>
      </c>
      <c r="E116" s="104">
        <f t="shared" si="119"/>
        <v>58.71</v>
      </c>
      <c r="F116" s="105">
        <v>0</v>
      </c>
      <c r="G116" s="105">
        <f t="shared" si="77"/>
        <v>16.949152542372882</v>
      </c>
      <c r="H116" s="105">
        <v>20</v>
      </c>
      <c r="I116" s="105">
        <f t="shared" si="78"/>
        <v>0</v>
      </c>
      <c r="J116" s="104">
        <v>0</v>
      </c>
      <c r="K116" s="105">
        <f t="shared" si="75"/>
        <v>12.711864406779661</v>
      </c>
      <c r="L116" s="105">
        <v>15</v>
      </c>
      <c r="M116" s="105">
        <f t="shared" si="79"/>
        <v>0</v>
      </c>
      <c r="N116" s="106">
        <v>58.71</v>
      </c>
      <c r="O116" s="105">
        <f t="shared" si="80"/>
        <v>6.6101694915254239</v>
      </c>
      <c r="P116" s="105">
        <v>7.8</v>
      </c>
      <c r="Q116" s="105">
        <f t="shared" si="81"/>
        <v>457.93799999999999</v>
      </c>
      <c r="R116" s="104">
        <v>0</v>
      </c>
      <c r="S116" s="105">
        <f t="shared" si="82"/>
        <v>13.220338983050848</v>
      </c>
      <c r="T116" s="105">
        <v>15.6</v>
      </c>
      <c r="U116" s="105">
        <f t="shared" si="83"/>
        <v>0</v>
      </c>
      <c r="V116" s="105">
        <v>0</v>
      </c>
      <c r="W116" s="105">
        <f t="shared" si="149"/>
        <v>5.9322033898305087</v>
      </c>
      <c r="X116" s="105">
        <v>7</v>
      </c>
      <c r="Y116" s="105">
        <f t="shared" si="84"/>
        <v>0</v>
      </c>
      <c r="Z116" s="104">
        <v>0</v>
      </c>
      <c r="AA116" s="105">
        <f t="shared" si="85"/>
        <v>5.5084745762711869</v>
      </c>
      <c r="AB116" s="105">
        <v>6.5</v>
      </c>
      <c r="AC116" s="105">
        <f t="shared" si="86"/>
        <v>0</v>
      </c>
      <c r="AD116" s="105">
        <v>0</v>
      </c>
      <c r="AE116" s="105">
        <f t="shared" si="87"/>
        <v>4.2372881355932206</v>
      </c>
      <c r="AF116" s="105">
        <v>5</v>
      </c>
      <c r="AG116" s="105">
        <f t="shared" si="88"/>
        <v>0</v>
      </c>
      <c r="AH116" s="106">
        <v>0</v>
      </c>
      <c r="AI116" s="105">
        <f t="shared" si="89"/>
        <v>9.3220338983050848</v>
      </c>
      <c r="AJ116" s="105">
        <v>11</v>
      </c>
      <c r="AK116" s="105">
        <f t="shared" si="90"/>
        <v>0</v>
      </c>
      <c r="AL116" s="106">
        <v>0</v>
      </c>
      <c r="AM116" s="105">
        <f t="shared" si="91"/>
        <v>12.711864406779661</v>
      </c>
      <c r="AN116" s="105">
        <v>15</v>
      </c>
      <c r="AO116" s="105">
        <f t="shared" si="92"/>
        <v>0</v>
      </c>
      <c r="AP116" s="105">
        <f t="shared" si="114"/>
        <v>388.08305084745763</v>
      </c>
      <c r="AQ116" s="105">
        <f t="shared" si="115"/>
        <v>457.93799999999999</v>
      </c>
      <c r="AR116" s="106">
        <v>0</v>
      </c>
      <c r="AS116" s="105" t="s">
        <v>312</v>
      </c>
      <c r="AT116" s="107">
        <v>0</v>
      </c>
      <c r="AU116" s="107">
        <f t="shared" si="121"/>
        <v>5.0847457627118651</v>
      </c>
      <c r="AV116" s="107">
        <v>6</v>
      </c>
      <c r="AW116" s="107">
        <f t="shared" si="94"/>
        <v>0</v>
      </c>
      <c r="AX116" s="107">
        <f t="shared" si="93"/>
        <v>0</v>
      </c>
      <c r="AY116" s="108">
        <f t="shared" si="95"/>
        <v>388.08305084745763</v>
      </c>
      <c r="AZ116" s="109">
        <f t="shared" si="95"/>
        <v>457.93799999999999</v>
      </c>
      <c r="BA116" s="9"/>
      <c r="BB116" s="9"/>
      <c r="BC116" s="9"/>
      <c r="BD116" s="9"/>
      <c r="BE116" s="45"/>
      <c r="BF116" s="45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</row>
    <row r="117" spans="1:93" s="4" customFormat="1" ht="320.25" outlineLevel="1" x14ac:dyDescent="0.25">
      <c r="A117" s="100">
        <f t="shared" si="148"/>
        <v>92</v>
      </c>
      <c r="B117" s="101" t="s">
        <v>252</v>
      </c>
      <c r="C117" s="102" t="s">
        <v>127</v>
      </c>
      <c r="D117" s="103" t="s">
        <v>19</v>
      </c>
      <c r="E117" s="104">
        <f t="shared" si="119"/>
        <v>674.5</v>
      </c>
      <c r="F117" s="105">
        <v>0</v>
      </c>
      <c r="G117" s="105">
        <f t="shared" si="77"/>
        <v>16.949152542372882</v>
      </c>
      <c r="H117" s="105">
        <v>20</v>
      </c>
      <c r="I117" s="105">
        <f t="shared" si="78"/>
        <v>0</v>
      </c>
      <c r="J117" s="104">
        <v>240.5</v>
      </c>
      <c r="K117" s="105">
        <f t="shared" si="75"/>
        <v>12.711864406779661</v>
      </c>
      <c r="L117" s="105">
        <v>15</v>
      </c>
      <c r="M117" s="105">
        <f t="shared" si="79"/>
        <v>3607.5</v>
      </c>
      <c r="N117" s="106">
        <v>313.89999999999998</v>
      </c>
      <c r="O117" s="105">
        <f t="shared" si="80"/>
        <v>6.6101694915254239</v>
      </c>
      <c r="P117" s="105">
        <v>7.8</v>
      </c>
      <c r="Q117" s="105">
        <f t="shared" si="81"/>
        <v>2448.4199999999996</v>
      </c>
      <c r="R117" s="104">
        <v>0</v>
      </c>
      <c r="S117" s="105">
        <f t="shared" si="82"/>
        <v>13.220338983050848</v>
      </c>
      <c r="T117" s="105">
        <v>15.6</v>
      </c>
      <c r="U117" s="105">
        <f t="shared" si="83"/>
        <v>0</v>
      </c>
      <c r="V117" s="105">
        <v>0</v>
      </c>
      <c r="W117" s="105">
        <v>4.2</v>
      </c>
      <c r="X117" s="105">
        <v>7</v>
      </c>
      <c r="Y117" s="105">
        <f t="shared" si="84"/>
        <v>0</v>
      </c>
      <c r="Z117" s="104">
        <v>60.1</v>
      </c>
      <c r="AA117" s="105">
        <f t="shared" si="85"/>
        <v>5.5084745762711869</v>
      </c>
      <c r="AB117" s="105">
        <v>6.5</v>
      </c>
      <c r="AC117" s="105">
        <f t="shared" si="86"/>
        <v>390.65000000000003</v>
      </c>
      <c r="AD117" s="105">
        <v>0</v>
      </c>
      <c r="AE117" s="105">
        <f t="shared" si="87"/>
        <v>4.2372881355932206</v>
      </c>
      <c r="AF117" s="105">
        <v>5</v>
      </c>
      <c r="AG117" s="105">
        <f t="shared" si="88"/>
        <v>0</v>
      </c>
      <c r="AH117" s="106">
        <v>55.5</v>
      </c>
      <c r="AI117" s="105">
        <f t="shared" si="89"/>
        <v>9.3220338983050848</v>
      </c>
      <c r="AJ117" s="105">
        <v>11</v>
      </c>
      <c r="AK117" s="105">
        <f t="shared" si="90"/>
        <v>610.5</v>
      </c>
      <c r="AL117" s="106">
        <v>4.5</v>
      </c>
      <c r="AM117" s="105">
        <f t="shared" si="91"/>
        <v>12.711864406779661</v>
      </c>
      <c r="AN117" s="105">
        <v>15</v>
      </c>
      <c r="AO117" s="105">
        <f t="shared" si="92"/>
        <v>67.5</v>
      </c>
      <c r="AP117" s="105">
        <f t="shared" si="114"/>
        <v>6037.7711864406783</v>
      </c>
      <c r="AQ117" s="105">
        <f t="shared" si="115"/>
        <v>7124.57</v>
      </c>
      <c r="AR117" s="106">
        <v>710</v>
      </c>
      <c r="AS117" s="105" t="s">
        <v>312</v>
      </c>
      <c r="AT117" s="107">
        <v>0</v>
      </c>
      <c r="AU117" s="107">
        <f t="shared" si="121"/>
        <v>5.0847457627118651</v>
      </c>
      <c r="AV117" s="107">
        <v>6</v>
      </c>
      <c r="AW117" s="107">
        <f t="shared" si="94"/>
        <v>3610.1694915254243</v>
      </c>
      <c r="AX117" s="107">
        <f t="shared" si="93"/>
        <v>4260</v>
      </c>
      <c r="AY117" s="108">
        <f t="shared" si="95"/>
        <v>9647.9406779661022</v>
      </c>
      <c r="AZ117" s="109">
        <f t="shared" si="95"/>
        <v>11384.57</v>
      </c>
      <c r="BA117" s="9"/>
      <c r="BB117" s="9"/>
      <c r="BC117" s="9"/>
      <c r="BD117" s="9"/>
      <c r="BE117" s="45"/>
      <c r="BF117" s="45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</row>
    <row r="118" spans="1:93" s="31" customFormat="1" ht="45.75" outlineLevel="1" x14ac:dyDescent="0.3">
      <c r="A118" s="149" t="s">
        <v>58</v>
      </c>
      <c r="B118" s="150"/>
      <c r="C118" s="150"/>
      <c r="D118" s="133"/>
      <c r="E118" s="104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11"/>
      <c r="AQ118" s="111"/>
      <c r="AR118" s="133"/>
      <c r="AS118" s="105"/>
      <c r="AT118" s="133"/>
      <c r="AU118" s="133"/>
      <c r="AV118" s="133"/>
      <c r="AW118" s="133"/>
      <c r="AX118" s="133"/>
      <c r="AY118" s="111"/>
      <c r="AZ118" s="130"/>
      <c r="BA118" s="67"/>
      <c r="BB118" s="30"/>
      <c r="BC118" s="30"/>
      <c r="BD118" s="30"/>
      <c r="BE118" s="30"/>
      <c r="BF118" s="30"/>
    </row>
    <row r="119" spans="1:93" s="34" customFormat="1" ht="45.75" outlineLevel="1" x14ac:dyDescent="0.3">
      <c r="A119" s="149" t="s">
        <v>128</v>
      </c>
      <c r="B119" s="150"/>
      <c r="C119" s="150"/>
      <c r="D119" s="133"/>
      <c r="E119" s="104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11"/>
      <c r="AQ119" s="111"/>
      <c r="AR119" s="133"/>
      <c r="AS119" s="105"/>
      <c r="AT119" s="133"/>
      <c r="AU119" s="133"/>
      <c r="AV119" s="133"/>
      <c r="AW119" s="133"/>
      <c r="AX119" s="133"/>
      <c r="AY119" s="128"/>
      <c r="AZ119" s="112"/>
      <c r="BA119" s="33"/>
      <c r="BB119" s="33"/>
      <c r="BC119" s="33"/>
      <c r="BD119" s="33"/>
      <c r="BE119" s="33"/>
      <c r="BF119" s="33"/>
    </row>
    <row r="120" spans="1:93" s="4" customFormat="1" ht="366" outlineLevel="1" x14ac:dyDescent="0.25">
      <c r="A120" s="100">
        <f>A117+1</f>
        <v>93</v>
      </c>
      <c r="B120" s="101" t="s">
        <v>253</v>
      </c>
      <c r="C120" s="102" t="s">
        <v>129</v>
      </c>
      <c r="D120" s="103" t="s">
        <v>19</v>
      </c>
      <c r="E120" s="104">
        <f t="shared" si="119"/>
        <v>917.53</v>
      </c>
      <c r="F120" s="105">
        <v>0</v>
      </c>
      <c r="G120" s="105">
        <f t="shared" si="77"/>
        <v>16.949152542372882</v>
      </c>
      <c r="H120" s="105">
        <v>20</v>
      </c>
      <c r="I120" s="105">
        <f t="shared" si="78"/>
        <v>0</v>
      </c>
      <c r="J120" s="104">
        <v>405.9</v>
      </c>
      <c r="K120" s="105">
        <f t="shared" si="75"/>
        <v>12.711864406779661</v>
      </c>
      <c r="L120" s="105">
        <v>15</v>
      </c>
      <c r="M120" s="105">
        <f t="shared" si="79"/>
        <v>6088.5</v>
      </c>
      <c r="N120" s="106">
        <v>141.1</v>
      </c>
      <c r="O120" s="105">
        <f t="shared" si="80"/>
        <v>6.6101694915254239</v>
      </c>
      <c r="P120" s="105">
        <v>7.8</v>
      </c>
      <c r="Q120" s="105">
        <f t="shared" si="81"/>
        <v>1100.58</v>
      </c>
      <c r="R120" s="104">
        <v>29.81</v>
      </c>
      <c r="S120" s="105">
        <f t="shared" si="82"/>
        <v>13.220338983050848</v>
      </c>
      <c r="T120" s="105">
        <v>15.6</v>
      </c>
      <c r="U120" s="105">
        <f t="shared" si="83"/>
        <v>465.03599999999994</v>
      </c>
      <c r="V120" s="105">
        <v>32.4</v>
      </c>
      <c r="W120" s="105">
        <f t="shared" ref="W120" si="150">X120/1.18</f>
        <v>5.9322033898305087</v>
      </c>
      <c r="X120" s="105">
        <v>7</v>
      </c>
      <c r="Y120" s="105">
        <f t="shared" si="84"/>
        <v>226.79999999999998</v>
      </c>
      <c r="Z120" s="104">
        <f>201.22+18.8</f>
        <v>220.02</v>
      </c>
      <c r="AA120" s="105">
        <f t="shared" si="85"/>
        <v>5.5084745762711869</v>
      </c>
      <c r="AB120" s="105">
        <v>6.5</v>
      </c>
      <c r="AC120" s="105">
        <f t="shared" si="86"/>
        <v>1430.13</v>
      </c>
      <c r="AD120" s="105">
        <v>0</v>
      </c>
      <c r="AE120" s="105">
        <f t="shared" si="87"/>
        <v>4.2372881355932206</v>
      </c>
      <c r="AF120" s="105">
        <v>5</v>
      </c>
      <c r="AG120" s="105">
        <f t="shared" si="88"/>
        <v>0</v>
      </c>
      <c r="AH120" s="106">
        <v>77.2</v>
      </c>
      <c r="AI120" s="105">
        <f t="shared" si="89"/>
        <v>9.3220338983050848</v>
      </c>
      <c r="AJ120" s="105">
        <v>11</v>
      </c>
      <c r="AK120" s="105">
        <f t="shared" si="90"/>
        <v>849.2</v>
      </c>
      <c r="AL120" s="106">
        <v>11.1</v>
      </c>
      <c r="AM120" s="105">
        <f t="shared" si="91"/>
        <v>12.711864406779661</v>
      </c>
      <c r="AN120" s="105">
        <v>15</v>
      </c>
      <c r="AO120" s="105">
        <f t="shared" si="92"/>
        <v>166.5</v>
      </c>
      <c r="AP120" s="105">
        <f t="shared" si="114"/>
        <v>8751.4796610169506</v>
      </c>
      <c r="AQ120" s="105">
        <f t="shared" si="115"/>
        <v>10326.746000000001</v>
      </c>
      <c r="AR120" s="106">
        <v>425</v>
      </c>
      <c r="AS120" s="105" t="s">
        <v>312</v>
      </c>
      <c r="AT120" s="107">
        <v>0</v>
      </c>
      <c r="AU120" s="107">
        <f t="shared" si="121"/>
        <v>5.0847457627118651</v>
      </c>
      <c r="AV120" s="107">
        <v>6</v>
      </c>
      <c r="AW120" s="107">
        <f t="shared" si="94"/>
        <v>2161.0169491525426</v>
      </c>
      <c r="AX120" s="107">
        <f t="shared" si="93"/>
        <v>2550</v>
      </c>
      <c r="AY120" s="108">
        <f t="shared" si="95"/>
        <v>10912.496610169494</v>
      </c>
      <c r="AZ120" s="109">
        <f t="shared" si="95"/>
        <v>12876.746000000001</v>
      </c>
      <c r="BA120" s="9"/>
      <c r="BB120" s="9"/>
      <c r="BC120" s="9"/>
      <c r="BD120" s="9"/>
      <c r="BE120" s="45"/>
      <c r="BF120" s="45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</row>
    <row r="121" spans="1:93" s="4" customFormat="1" ht="366" outlineLevel="1" x14ac:dyDescent="0.25">
      <c r="A121" s="100">
        <f>A120+1</f>
        <v>94</v>
      </c>
      <c r="B121" s="101" t="s">
        <v>253</v>
      </c>
      <c r="C121" s="102" t="s">
        <v>130</v>
      </c>
      <c r="D121" s="103" t="s">
        <v>19</v>
      </c>
      <c r="E121" s="104">
        <f t="shared" si="119"/>
        <v>171.09999999999997</v>
      </c>
      <c r="F121" s="105">
        <v>0</v>
      </c>
      <c r="G121" s="105">
        <f t="shared" si="77"/>
        <v>16.949152542372882</v>
      </c>
      <c r="H121" s="105">
        <v>20</v>
      </c>
      <c r="I121" s="105">
        <f t="shared" si="78"/>
        <v>0</v>
      </c>
      <c r="J121" s="104">
        <f>64.3</f>
        <v>64.3</v>
      </c>
      <c r="K121" s="105">
        <f t="shared" si="75"/>
        <v>12.711864406779661</v>
      </c>
      <c r="L121" s="105">
        <v>15</v>
      </c>
      <c r="M121" s="105">
        <f t="shared" si="79"/>
        <v>964.5</v>
      </c>
      <c r="N121" s="106">
        <v>14.1</v>
      </c>
      <c r="O121" s="105">
        <f t="shared" si="80"/>
        <v>6.6101694915254239</v>
      </c>
      <c r="P121" s="105">
        <v>7.8</v>
      </c>
      <c r="Q121" s="105">
        <f t="shared" si="81"/>
        <v>109.97999999999999</v>
      </c>
      <c r="R121" s="104">
        <v>0</v>
      </c>
      <c r="S121" s="105">
        <f t="shared" si="82"/>
        <v>13.220338983050848</v>
      </c>
      <c r="T121" s="105">
        <v>15.6</v>
      </c>
      <c r="U121" s="105">
        <f t="shared" si="83"/>
        <v>0</v>
      </c>
      <c r="V121" s="105">
        <v>2.5</v>
      </c>
      <c r="W121" s="105">
        <v>4.2</v>
      </c>
      <c r="X121" s="105">
        <v>7</v>
      </c>
      <c r="Y121" s="105">
        <f t="shared" si="84"/>
        <v>17.5</v>
      </c>
      <c r="Z121" s="104">
        <f>38.9+27.7+23.6</f>
        <v>90.199999999999989</v>
      </c>
      <c r="AA121" s="105">
        <f t="shared" si="85"/>
        <v>5.5084745762711869</v>
      </c>
      <c r="AB121" s="105">
        <v>6.5</v>
      </c>
      <c r="AC121" s="105">
        <f t="shared" si="86"/>
        <v>586.29999999999995</v>
      </c>
      <c r="AD121" s="105">
        <v>0</v>
      </c>
      <c r="AE121" s="105">
        <f t="shared" si="87"/>
        <v>4.2372881355932206</v>
      </c>
      <c r="AF121" s="105">
        <v>5</v>
      </c>
      <c r="AG121" s="105">
        <f t="shared" si="88"/>
        <v>0</v>
      </c>
      <c r="AH121" s="106">
        <v>0</v>
      </c>
      <c r="AI121" s="105">
        <f t="shared" si="89"/>
        <v>9.3220338983050848</v>
      </c>
      <c r="AJ121" s="105">
        <v>11</v>
      </c>
      <c r="AK121" s="105">
        <f t="shared" si="90"/>
        <v>0</v>
      </c>
      <c r="AL121" s="106">
        <v>0</v>
      </c>
      <c r="AM121" s="105">
        <f t="shared" si="91"/>
        <v>12.711864406779661</v>
      </c>
      <c r="AN121" s="105">
        <v>15</v>
      </c>
      <c r="AO121" s="105">
        <f t="shared" si="92"/>
        <v>0</v>
      </c>
      <c r="AP121" s="105">
        <f t="shared" si="114"/>
        <v>1422.2711864406781</v>
      </c>
      <c r="AQ121" s="105">
        <f t="shared" si="115"/>
        <v>1678.28</v>
      </c>
      <c r="AR121" s="106">
        <v>75</v>
      </c>
      <c r="AS121" s="105" t="s">
        <v>312</v>
      </c>
      <c r="AT121" s="107">
        <v>0</v>
      </c>
      <c r="AU121" s="107">
        <f t="shared" si="121"/>
        <v>5.0847457627118651</v>
      </c>
      <c r="AV121" s="107">
        <v>6</v>
      </c>
      <c r="AW121" s="107">
        <f t="shared" si="94"/>
        <v>381.3559322033899</v>
      </c>
      <c r="AX121" s="107">
        <f t="shared" si="93"/>
        <v>450</v>
      </c>
      <c r="AY121" s="108">
        <f t="shared" si="95"/>
        <v>1803.6271186440681</v>
      </c>
      <c r="AZ121" s="109">
        <f t="shared" si="95"/>
        <v>2128.2799999999997</v>
      </c>
      <c r="BA121" s="9"/>
      <c r="BB121" s="9"/>
      <c r="BC121" s="9"/>
      <c r="BD121" s="9"/>
      <c r="BE121" s="45"/>
      <c r="BF121" s="45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</row>
    <row r="122" spans="1:93" s="4" customFormat="1" ht="274.5" outlineLevel="1" x14ac:dyDescent="0.25">
      <c r="A122" s="100">
        <f t="shared" ref="A122:A126" si="151">A121+1</f>
        <v>95</v>
      </c>
      <c r="B122" s="101" t="s">
        <v>253</v>
      </c>
      <c r="C122" s="102" t="s">
        <v>131</v>
      </c>
      <c r="D122" s="103" t="s">
        <v>19</v>
      </c>
      <c r="E122" s="104">
        <f t="shared" si="119"/>
        <v>239.5</v>
      </c>
      <c r="F122" s="105">
        <v>0</v>
      </c>
      <c r="G122" s="105">
        <f t="shared" si="77"/>
        <v>16.949152542372882</v>
      </c>
      <c r="H122" s="105">
        <v>20</v>
      </c>
      <c r="I122" s="105">
        <f t="shared" si="78"/>
        <v>0</v>
      </c>
      <c r="J122" s="104">
        <v>15.6</v>
      </c>
      <c r="K122" s="105">
        <f t="shared" si="75"/>
        <v>12.711864406779661</v>
      </c>
      <c r="L122" s="105">
        <v>15</v>
      </c>
      <c r="M122" s="105">
        <f t="shared" si="79"/>
        <v>234</v>
      </c>
      <c r="N122" s="106">
        <v>77.900000000000006</v>
      </c>
      <c r="O122" s="105">
        <f t="shared" si="80"/>
        <v>6.6101694915254239</v>
      </c>
      <c r="P122" s="105">
        <v>7.8</v>
      </c>
      <c r="Q122" s="105">
        <f t="shared" si="81"/>
        <v>607.62</v>
      </c>
      <c r="R122" s="104">
        <v>57.7</v>
      </c>
      <c r="S122" s="105">
        <f t="shared" si="82"/>
        <v>13.220338983050848</v>
      </c>
      <c r="T122" s="105">
        <v>15.6</v>
      </c>
      <c r="U122" s="105">
        <f t="shared" si="83"/>
        <v>900.12</v>
      </c>
      <c r="V122" s="105">
        <v>0</v>
      </c>
      <c r="W122" s="105">
        <f t="shared" ref="W122:W124" si="152">X122/1.18</f>
        <v>5.9322033898305087</v>
      </c>
      <c r="X122" s="105">
        <v>7</v>
      </c>
      <c r="Y122" s="105">
        <f t="shared" si="84"/>
        <v>0</v>
      </c>
      <c r="Z122" s="104">
        <v>86.5</v>
      </c>
      <c r="AA122" s="105">
        <f t="shared" si="85"/>
        <v>5.5084745762711869</v>
      </c>
      <c r="AB122" s="105">
        <v>6.5</v>
      </c>
      <c r="AC122" s="105">
        <f t="shared" si="86"/>
        <v>562.25</v>
      </c>
      <c r="AD122" s="105">
        <v>0</v>
      </c>
      <c r="AE122" s="105">
        <f t="shared" si="87"/>
        <v>4.2372881355932206</v>
      </c>
      <c r="AF122" s="105">
        <v>5</v>
      </c>
      <c r="AG122" s="105">
        <f t="shared" si="88"/>
        <v>0</v>
      </c>
      <c r="AH122" s="106">
        <v>0</v>
      </c>
      <c r="AI122" s="105">
        <f t="shared" si="89"/>
        <v>9.3220338983050848</v>
      </c>
      <c r="AJ122" s="105">
        <v>11</v>
      </c>
      <c r="AK122" s="105">
        <f t="shared" si="90"/>
        <v>0</v>
      </c>
      <c r="AL122" s="106">
        <v>1.8</v>
      </c>
      <c r="AM122" s="105">
        <f t="shared" si="91"/>
        <v>12.711864406779661</v>
      </c>
      <c r="AN122" s="105">
        <v>15</v>
      </c>
      <c r="AO122" s="105">
        <f t="shared" si="92"/>
        <v>27</v>
      </c>
      <c r="AP122" s="105">
        <f t="shared" si="114"/>
        <v>1975.4152542372881</v>
      </c>
      <c r="AQ122" s="105">
        <f t="shared" si="115"/>
        <v>2330.9899999999998</v>
      </c>
      <c r="AR122" s="106">
        <v>200</v>
      </c>
      <c r="AS122" s="105" t="s">
        <v>312</v>
      </c>
      <c r="AT122" s="107">
        <v>0</v>
      </c>
      <c r="AU122" s="107">
        <f t="shared" si="121"/>
        <v>5.0847457627118651</v>
      </c>
      <c r="AV122" s="107">
        <v>6</v>
      </c>
      <c r="AW122" s="107">
        <f t="shared" si="94"/>
        <v>1016.949152542373</v>
      </c>
      <c r="AX122" s="107">
        <f t="shared" si="93"/>
        <v>1200</v>
      </c>
      <c r="AY122" s="108">
        <f t="shared" si="95"/>
        <v>2992.3644067796613</v>
      </c>
      <c r="AZ122" s="109">
        <f t="shared" si="95"/>
        <v>3530.99</v>
      </c>
      <c r="BA122" s="9"/>
      <c r="BB122" s="9"/>
      <c r="BC122" s="9"/>
      <c r="BD122" s="9"/>
      <c r="BE122" s="45"/>
      <c r="BF122" s="45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</row>
    <row r="123" spans="1:93" s="4" customFormat="1" ht="320.25" outlineLevel="1" x14ac:dyDescent="0.25">
      <c r="A123" s="100">
        <f t="shared" si="151"/>
        <v>96</v>
      </c>
      <c r="B123" s="101" t="s">
        <v>252</v>
      </c>
      <c r="C123" s="102" t="s">
        <v>132</v>
      </c>
      <c r="D123" s="103" t="s">
        <v>19</v>
      </c>
      <c r="E123" s="104">
        <f t="shared" si="119"/>
        <v>831.15000000000009</v>
      </c>
      <c r="F123" s="105">
        <v>0</v>
      </c>
      <c r="G123" s="105">
        <f t="shared" si="77"/>
        <v>16.949152542372882</v>
      </c>
      <c r="H123" s="105">
        <v>20</v>
      </c>
      <c r="I123" s="105">
        <f t="shared" si="78"/>
        <v>0</v>
      </c>
      <c r="J123" s="104">
        <v>286.8</v>
      </c>
      <c r="K123" s="105">
        <f t="shared" si="75"/>
        <v>12.711864406779661</v>
      </c>
      <c r="L123" s="105">
        <v>15</v>
      </c>
      <c r="M123" s="105">
        <f t="shared" si="79"/>
        <v>4302</v>
      </c>
      <c r="N123" s="106">
        <v>298.60000000000002</v>
      </c>
      <c r="O123" s="105">
        <f t="shared" si="80"/>
        <v>6.6101694915254239</v>
      </c>
      <c r="P123" s="105">
        <v>7.8</v>
      </c>
      <c r="Q123" s="105">
        <f t="shared" si="81"/>
        <v>2329.08</v>
      </c>
      <c r="R123" s="104">
        <v>0</v>
      </c>
      <c r="S123" s="105">
        <f t="shared" si="82"/>
        <v>13.220338983050848</v>
      </c>
      <c r="T123" s="105">
        <v>15.6</v>
      </c>
      <c r="U123" s="105">
        <f t="shared" si="83"/>
        <v>0</v>
      </c>
      <c r="V123" s="105">
        <v>22.9</v>
      </c>
      <c r="W123" s="105">
        <f t="shared" si="152"/>
        <v>5.9322033898305087</v>
      </c>
      <c r="X123" s="105">
        <v>7</v>
      </c>
      <c r="Y123" s="105">
        <f t="shared" si="84"/>
        <v>160.29999999999998</v>
      </c>
      <c r="Z123" s="104">
        <v>201.65</v>
      </c>
      <c r="AA123" s="105">
        <f t="shared" si="85"/>
        <v>5.5084745762711869</v>
      </c>
      <c r="AB123" s="105">
        <v>6.5</v>
      </c>
      <c r="AC123" s="105">
        <f t="shared" si="86"/>
        <v>1310.7250000000001</v>
      </c>
      <c r="AD123" s="105">
        <v>0</v>
      </c>
      <c r="AE123" s="105">
        <f t="shared" si="87"/>
        <v>4.2372881355932206</v>
      </c>
      <c r="AF123" s="105">
        <v>5</v>
      </c>
      <c r="AG123" s="105">
        <f t="shared" si="88"/>
        <v>0</v>
      </c>
      <c r="AH123" s="106">
        <v>0</v>
      </c>
      <c r="AI123" s="105">
        <f t="shared" si="89"/>
        <v>9.3220338983050848</v>
      </c>
      <c r="AJ123" s="105">
        <v>11</v>
      </c>
      <c r="AK123" s="105">
        <f t="shared" si="90"/>
        <v>0</v>
      </c>
      <c r="AL123" s="106">
        <v>21.2</v>
      </c>
      <c r="AM123" s="105">
        <f t="shared" si="91"/>
        <v>12.711864406779661</v>
      </c>
      <c r="AN123" s="105">
        <v>15</v>
      </c>
      <c r="AO123" s="105">
        <f t="shared" si="92"/>
        <v>318</v>
      </c>
      <c r="AP123" s="105">
        <f t="shared" si="114"/>
        <v>7135.6822033898306</v>
      </c>
      <c r="AQ123" s="105">
        <f t="shared" si="115"/>
        <v>8420.1049999999996</v>
      </c>
      <c r="AR123" s="106">
        <f>125+125</f>
        <v>250</v>
      </c>
      <c r="AS123" s="105" t="s">
        <v>312</v>
      </c>
      <c r="AT123" s="107">
        <v>0</v>
      </c>
      <c r="AU123" s="107">
        <f t="shared" si="121"/>
        <v>5.0847457627118651</v>
      </c>
      <c r="AV123" s="107">
        <v>6</v>
      </c>
      <c r="AW123" s="107">
        <f t="shared" si="94"/>
        <v>1271.1864406779662</v>
      </c>
      <c r="AX123" s="107">
        <f t="shared" si="93"/>
        <v>1500</v>
      </c>
      <c r="AY123" s="108">
        <f t="shared" si="95"/>
        <v>8406.8686440677975</v>
      </c>
      <c r="AZ123" s="109">
        <f t="shared" si="95"/>
        <v>9920.1049999999996</v>
      </c>
      <c r="BA123" s="9"/>
      <c r="BB123" s="9"/>
      <c r="BC123" s="9"/>
      <c r="BD123" s="9"/>
      <c r="BE123" s="45"/>
      <c r="BF123" s="45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</row>
    <row r="124" spans="1:93" s="4" customFormat="1" ht="320.25" outlineLevel="1" x14ac:dyDescent="0.25">
      <c r="A124" s="100">
        <f t="shared" si="151"/>
        <v>97</v>
      </c>
      <c r="B124" s="101" t="s">
        <v>252</v>
      </c>
      <c r="C124" s="102" t="s">
        <v>133</v>
      </c>
      <c r="D124" s="103" t="s">
        <v>19</v>
      </c>
      <c r="E124" s="104">
        <f t="shared" si="119"/>
        <v>570.1099999999999</v>
      </c>
      <c r="F124" s="105">
        <v>0</v>
      </c>
      <c r="G124" s="105">
        <f t="shared" si="77"/>
        <v>16.949152542372882</v>
      </c>
      <c r="H124" s="105">
        <v>20</v>
      </c>
      <c r="I124" s="105">
        <f t="shared" si="78"/>
        <v>0</v>
      </c>
      <c r="J124" s="104">
        <v>181.6</v>
      </c>
      <c r="K124" s="105">
        <f t="shared" si="75"/>
        <v>12.711864406779661</v>
      </c>
      <c r="L124" s="105">
        <v>15</v>
      </c>
      <c r="M124" s="105">
        <f t="shared" si="79"/>
        <v>2724</v>
      </c>
      <c r="N124" s="106">
        <v>146.9</v>
      </c>
      <c r="O124" s="105">
        <f t="shared" si="80"/>
        <v>6.6101694915254239</v>
      </c>
      <c r="P124" s="105">
        <v>7.8</v>
      </c>
      <c r="Q124" s="105">
        <f t="shared" si="81"/>
        <v>1145.82</v>
      </c>
      <c r="R124" s="104">
        <v>54.4</v>
      </c>
      <c r="S124" s="105">
        <f t="shared" si="82"/>
        <v>13.220338983050848</v>
      </c>
      <c r="T124" s="105">
        <v>15.6</v>
      </c>
      <c r="U124" s="105">
        <f t="shared" si="83"/>
        <v>848.64</v>
      </c>
      <c r="V124" s="105">
        <f>10.7</f>
        <v>10.7</v>
      </c>
      <c r="W124" s="105">
        <f t="shared" si="152"/>
        <v>5.9322033898305087</v>
      </c>
      <c r="X124" s="105">
        <v>7</v>
      </c>
      <c r="Y124" s="105">
        <f t="shared" si="84"/>
        <v>74.899999999999991</v>
      </c>
      <c r="Z124" s="104">
        <v>159.51</v>
      </c>
      <c r="AA124" s="105">
        <f t="shared" si="85"/>
        <v>5.5084745762711869</v>
      </c>
      <c r="AB124" s="105">
        <v>6.5</v>
      </c>
      <c r="AC124" s="105">
        <f t="shared" si="86"/>
        <v>1036.8150000000001</v>
      </c>
      <c r="AD124" s="105">
        <v>0</v>
      </c>
      <c r="AE124" s="105">
        <f t="shared" si="87"/>
        <v>4.2372881355932206</v>
      </c>
      <c r="AF124" s="105">
        <v>5</v>
      </c>
      <c r="AG124" s="105">
        <f t="shared" si="88"/>
        <v>0</v>
      </c>
      <c r="AH124" s="106">
        <v>0</v>
      </c>
      <c r="AI124" s="105">
        <f t="shared" si="89"/>
        <v>9.3220338983050848</v>
      </c>
      <c r="AJ124" s="105">
        <v>11</v>
      </c>
      <c r="AK124" s="105">
        <f t="shared" si="90"/>
        <v>0</v>
      </c>
      <c r="AL124" s="106">
        <v>17</v>
      </c>
      <c r="AM124" s="105">
        <f t="shared" si="91"/>
        <v>12.711864406779661</v>
      </c>
      <c r="AN124" s="105">
        <v>15</v>
      </c>
      <c r="AO124" s="105">
        <f t="shared" si="92"/>
        <v>255</v>
      </c>
      <c r="AP124" s="105">
        <f t="shared" si="114"/>
        <v>5156.9279661016944</v>
      </c>
      <c r="AQ124" s="105">
        <f t="shared" si="115"/>
        <v>6085.1749999999993</v>
      </c>
      <c r="AR124" s="106">
        <f>375+500</f>
        <v>875</v>
      </c>
      <c r="AS124" s="105" t="s">
        <v>312</v>
      </c>
      <c r="AT124" s="107">
        <v>0</v>
      </c>
      <c r="AU124" s="107">
        <f t="shared" si="121"/>
        <v>5.0847457627118651</v>
      </c>
      <c r="AV124" s="107">
        <v>6</v>
      </c>
      <c r="AW124" s="107">
        <f t="shared" si="94"/>
        <v>4449.1525423728817</v>
      </c>
      <c r="AX124" s="107">
        <f t="shared" si="93"/>
        <v>5250</v>
      </c>
      <c r="AY124" s="108">
        <f t="shared" si="95"/>
        <v>9606.0805084745771</v>
      </c>
      <c r="AZ124" s="109">
        <f t="shared" si="95"/>
        <v>11335.174999999999</v>
      </c>
      <c r="BA124" s="9"/>
      <c r="BB124" s="9"/>
      <c r="BC124" s="9"/>
      <c r="BD124" s="9"/>
      <c r="BE124" s="45"/>
      <c r="BF124" s="45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</row>
    <row r="125" spans="1:93" s="4" customFormat="1" ht="274.5" outlineLevel="1" x14ac:dyDescent="0.25">
      <c r="A125" s="100">
        <f t="shared" si="151"/>
        <v>98</v>
      </c>
      <c r="B125" s="101" t="s">
        <v>252</v>
      </c>
      <c r="C125" s="102" t="s">
        <v>134</v>
      </c>
      <c r="D125" s="103" t="s">
        <v>19</v>
      </c>
      <c r="E125" s="104">
        <f t="shared" si="119"/>
        <v>740.1</v>
      </c>
      <c r="F125" s="105">
        <v>0</v>
      </c>
      <c r="G125" s="105">
        <f t="shared" si="77"/>
        <v>16.949152542372882</v>
      </c>
      <c r="H125" s="105">
        <v>20</v>
      </c>
      <c r="I125" s="105">
        <f t="shared" si="78"/>
        <v>0</v>
      </c>
      <c r="J125" s="104">
        <v>334</v>
      </c>
      <c r="K125" s="105">
        <f t="shared" si="75"/>
        <v>12.711864406779661</v>
      </c>
      <c r="L125" s="105">
        <v>15</v>
      </c>
      <c r="M125" s="105">
        <f t="shared" si="79"/>
        <v>5010</v>
      </c>
      <c r="N125" s="106">
        <v>169.4</v>
      </c>
      <c r="O125" s="105">
        <f t="shared" si="80"/>
        <v>6.6101694915254239</v>
      </c>
      <c r="P125" s="105">
        <v>7.8</v>
      </c>
      <c r="Q125" s="105">
        <f t="shared" si="81"/>
        <v>1321.32</v>
      </c>
      <c r="R125" s="104">
        <v>35.9</v>
      </c>
      <c r="S125" s="105">
        <f t="shared" si="82"/>
        <v>13.220338983050848</v>
      </c>
      <c r="T125" s="105">
        <v>15.6</v>
      </c>
      <c r="U125" s="105">
        <f t="shared" si="83"/>
        <v>560.04</v>
      </c>
      <c r="V125" s="105">
        <v>26.1</v>
      </c>
      <c r="W125" s="105">
        <v>4.2</v>
      </c>
      <c r="X125" s="105">
        <v>7</v>
      </c>
      <c r="Y125" s="105">
        <f t="shared" si="84"/>
        <v>182.70000000000002</v>
      </c>
      <c r="Z125" s="104">
        <v>162.6</v>
      </c>
      <c r="AA125" s="105">
        <f t="shared" si="85"/>
        <v>5.5084745762711869</v>
      </c>
      <c r="AB125" s="105">
        <v>6.5</v>
      </c>
      <c r="AC125" s="105">
        <f t="shared" si="86"/>
        <v>1056.8999999999999</v>
      </c>
      <c r="AD125" s="105">
        <v>0</v>
      </c>
      <c r="AE125" s="105">
        <f t="shared" si="87"/>
        <v>4.2372881355932206</v>
      </c>
      <c r="AF125" s="105">
        <v>5</v>
      </c>
      <c r="AG125" s="105">
        <f t="shared" si="88"/>
        <v>0</v>
      </c>
      <c r="AH125" s="106">
        <v>0</v>
      </c>
      <c r="AI125" s="105">
        <f t="shared" si="89"/>
        <v>9.3220338983050848</v>
      </c>
      <c r="AJ125" s="105">
        <v>11</v>
      </c>
      <c r="AK125" s="105">
        <f t="shared" si="90"/>
        <v>0</v>
      </c>
      <c r="AL125" s="106">
        <v>12.1</v>
      </c>
      <c r="AM125" s="105">
        <f t="shared" si="91"/>
        <v>12.711864406779661</v>
      </c>
      <c r="AN125" s="105">
        <v>15</v>
      </c>
      <c r="AO125" s="105">
        <f t="shared" si="92"/>
        <v>181.5</v>
      </c>
      <c r="AP125" s="105">
        <f t="shared" si="114"/>
        <v>7044.4576271186434</v>
      </c>
      <c r="AQ125" s="105">
        <f t="shared" si="115"/>
        <v>8312.4599999999991</v>
      </c>
      <c r="AR125" s="106">
        <f>300+200</f>
        <v>500</v>
      </c>
      <c r="AS125" s="105" t="s">
        <v>312</v>
      </c>
      <c r="AT125" s="107">
        <v>0</v>
      </c>
      <c r="AU125" s="107">
        <f t="shared" si="121"/>
        <v>5.0847457627118651</v>
      </c>
      <c r="AV125" s="107">
        <v>6</v>
      </c>
      <c r="AW125" s="107">
        <f t="shared" si="94"/>
        <v>2542.3728813559323</v>
      </c>
      <c r="AX125" s="107">
        <f t="shared" si="93"/>
        <v>3000</v>
      </c>
      <c r="AY125" s="108">
        <f t="shared" si="95"/>
        <v>9586.8305084745753</v>
      </c>
      <c r="AZ125" s="109">
        <f t="shared" si="95"/>
        <v>11312.46</v>
      </c>
      <c r="BA125" s="9"/>
      <c r="BB125" s="9"/>
      <c r="BC125" s="9"/>
      <c r="BD125" s="9"/>
      <c r="BE125" s="45"/>
      <c r="BF125" s="45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</row>
    <row r="126" spans="1:93" s="4" customFormat="1" ht="320.25" outlineLevel="1" x14ac:dyDescent="0.25">
      <c r="A126" s="100">
        <f t="shared" si="151"/>
        <v>99</v>
      </c>
      <c r="B126" s="101" t="s">
        <v>252</v>
      </c>
      <c r="C126" s="102" t="s">
        <v>135</v>
      </c>
      <c r="D126" s="103" t="s">
        <v>19</v>
      </c>
      <c r="E126" s="104">
        <f t="shared" si="119"/>
        <v>665.6</v>
      </c>
      <c r="F126" s="105">
        <v>0</v>
      </c>
      <c r="G126" s="105">
        <f t="shared" si="77"/>
        <v>16.949152542372882</v>
      </c>
      <c r="H126" s="105">
        <v>20</v>
      </c>
      <c r="I126" s="105">
        <f t="shared" si="78"/>
        <v>0</v>
      </c>
      <c r="J126" s="104">
        <v>195.5</v>
      </c>
      <c r="K126" s="105">
        <f t="shared" si="75"/>
        <v>12.711864406779661</v>
      </c>
      <c r="L126" s="105">
        <v>15</v>
      </c>
      <c r="M126" s="105">
        <f t="shared" si="79"/>
        <v>2932.5</v>
      </c>
      <c r="N126" s="106">
        <v>130.5</v>
      </c>
      <c r="O126" s="105">
        <f t="shared" si="80"/>
        <v>6.6101694915254239</v>
      </c>
      <c r="P126" s="105">
        <v>7.8</v>
      </c>
      <c r="Q126" s="105">
        <f t="shared" si="81"/>
        <v>1017.9</v>
      </c>
      <c r="R126" s="104">
        <v>42</v>
      </c>
      <c r="S126" s="105">
        <f t="shared" si="82"/>
        <v>13.220338983050848</v>
      </c>
      <c r="T126" s="105">
        <v>15.6</v>
      </c>
      <c r="U126" s="105">
        <f t="shared" si="83"/>
        <v>655.19999999999993</v>
      </c>
      <c r="V126" s="105">
        <v>22.8</v>
      </c>
      <c r="W126" s="105">
        <f t="shared" ref="W126:W128" si="153">X126/1.18</f>
        <v>5.9322033898305087</v>
      </c>
      <c r="X126" s="105">
        <v>7</v>
      </c>
      <c r="Y126" s="105">
        <f t="shared" si="84"/>
        <v>159.6</v>
      </c>
      <c r="Z126" s="104">
        <v>237.2</v>
      </c>
      <c r="AA126" s="105">
        <f t="shared" si="85"/>
        <v>5.5084745762711869</v>
      </c>
      <c r="AB126" s="105">
        <v>6.5</v>
      </c>
      <c r="AC126" s="105">
        <f t="shared" si="86"/>
        <v>1541.8</v>
      </c>
      <c r="AD126" s="105">
        <v>0</v>
      </c>
      <c r="AE126" s="105">
        <f t="shared" si="87"/>
        <v>4.2372881355932206</v>
      </c>
      <c r="AF126" s="105">
        <v>5</v>
      </c>
      <c r="AG126" s="105">
        <f t="shared" si="88"/>
        <v>0</v>
      </c>
      <c r="AH126" s="106">
        <v>0</v>
      </c>
      <c r="AI126" s="105">
        <f t="shared" si="89"/>
        <v>9.3220338983050848</v>
      </c>
      <c r="AJ126" s="105">
        <v>11</v>
      </c>
      <c r="AK126" s="105">
        <f t="shared" si="90"/>
        <v>0</v>
      </c>
      <c r="AL126" s="106">
        <v>37.6</v>
      </c>
      <c r="AM126" s="105">
        <f t="shared" si="91"/>
        <v>12.711864406779661</v>
      </c>
      <c r="AN126" s="105">
        <v>15</v>
      </c>
      <c r="AO126" s="105">
        <f t="shared" si="92"/>
        <v>564</v>
      </c>
      <c r="AP126" s="105">
        <f t="shared" si="114"/>
        <v>5822.8813559322043</v>
      </c>
      <c r="AQ126" s="105">
        <f t="shared" si="115"/>
        <v>6871.0000000000009</v>
      </c>
      <c r="AR126" s="106">
        <v>200</v>
      </c>
      <c r="AS126" s="105" t="s">
        <v>312</v>
      </c>
      <c r="AT126" s="107">
        <v>0</v>
      </c>
      <c r="AU126" s="107">
        <f t="shared" si="121"/>
        <v>5.0847457627118651</v>
      </c>
      <c r="AV126" s="107">
        <v>6</v>
      </c>
      <c r="AW126" s="107">
        <f t="shared" si="94"/>
        <v>1016.949152542373</v>
      </c>
      <c r="AX126" s="107">
        <f t="shared" si="93"/>
        <v>1200</v>
      </c>
      <c r="AY126" s="108">
        <f t="shared" si="95"/>
        <v>6839.8305084745771</v>
      </c>
      <c r="AZ126" s="109">
        <f t="shared" si="95"/>
        <v>8071.0000000000009</v>
      </c>
      <c r="BA126" s="9"/>
      <c r="BB126" s="9"/>
      <c r="BC126" s="9"/>
      <c r="BD126" s="9"/>
      <c r="BE126" s="45"/>
      <c r="BF126" s="45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</row>
    <row r="127" spans="1:93" s="31" customFormat="1" ht="45.75" outlineLevel="1" x14ac:dyDescent="0.3">
      <c r="A127" s="149" t="s">
        <v>59</v>
      </c>
      <c r="B127" s="150"/>
      <c r="C127" s="150"/>
      <c r="D127" s="133"/>
      <c r="E127" s="104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11"/>
      <c r="AQ127" s="111"/>
      <c r="AR127" s="133"/>
      <c r="AS127" s="105"/>
      <c r="AT127" s="133"/>
      <c r="AU127" s="133"/>
      <c r="AV127" s="133"/>
      <c r="AW127" s="133"/>
      <c r="AX127" s="133"/>
      <c r="AY127" s="111"/>
      <c r="AZ127" s="112"/>
      <c r="BA127" s="30"/>
      <c r="BB127" s="30"/>
      <c r="BC127" s="30"/>
      <c r="BD127" s="30"/>
      <c r="BE127" s="30"/>
      <c r="BF127" s="30"/>
    </row>
    <row r="128" spans="1:93" s="4" customFormat="1" ht="274.5" outlineLevel="1" x14ac:dyDescent="0.25">
      <c r="A128" s="100">
        <f>A126+1</f>
        <v>100</v>
      </c>
      <c r="B128" s="101" t="s">
        <v>252</v>
      </c>
      <c r="C128" s="102" t="s">
        <v>136</v>
      </c>
      <c r="D128" s="103" t="s">
        <v>19</v>
      </c>
      <c r="E128" s="104">
        <f t="shared" si="119"/>
        <v>849</v>
      </c>
      <c r="F128" s="105">
        <v>0</v>
      </c>
      <c r="G128" s="105">
        <f t="shared" si="77"/>
        <v>16.949152542372882</v>
      </c>
      <c r="H128" s="105">
        <v>20</v>
      </c>
      <c r="I128" s="105">
        <f t="shared" si="78"/>
        <v>0</v>
      </c>
      <c r="J128" s="104">
        <v>215.8</v>
      </c>
      <c r="K128" s="105">
        <f t="shared" si="75"/>
        <v>12.711864406779661</v>
      </c>
      <c r="L128" s="105">
        <v>15</v>
      </c>
      <c r="M128" s="105">
        <f t="shared" si="79"/>
        <v>3237</v>
      </c>
      <c r="N128" s="106">
        <v>235.4</v>
      </c>
      <c r="O128" s="105">
        <f t="shared" si="80"/>
        <v>6.6101694915254239</v>
      </c>
      <c r="P128" s="105">
        <v>7.8</v>
      </c>
      <c r="Q128" s="105">
        <f t="shared" si="81"/>
        <v>1836.12</v>
      </c>
      <c r="R128" s="104">
        <v>72.8</v>
      </c>
      <c r="S128" s="105">
        <f t="shared" si="82"/>
        <v>13.220338983050848</v>
      </c>
      <c r="T128" s="105">
        <v>15.6</v>
      </c>
      <c r="U128" s="105">
        <f t="shared" si="83"/>
        <v>1135.6799999999998</v>
      </c>
      <c r="V128" s="105">
        <v>0</v>
      </c>
      <c r="W128" s="105">
        <f t="shared" si="153"/>
        <v>5.9322033898305087</v>
      </c>
      <c r="X128" s="105">
        <v>7</v>
      </c>
      <c r="Y128" s="105">
        <f t="shared" si="84"/>
        <v>0</v>
      </c>
      <c r="Z128" s="104">
        <f>233.2+35.8</f>
        <v>269</v>
      </c>
      <c r="AA128" s="105">
        <f t="shared" si="85"/>
        <v>5.5084745762711869</v>
      </c>
      <c r="AB128" s="105">
        <v>6.5</v>
      </c>
      <c r="AC128" s="105">
        <f t="shared" si="86"/>
        <v>1748.5</v>
      </c>
      <c r="AD128" s="105">
        <v>0</v>
      </c>
      <c r="AE128" s="105">
        <f t="shared" si="87"/>
        <v>4.2372881355932206</v>
      </c>
      <c r="AF128" s="105">
        <v>5</v>
      </c>
      <c r="AG128" s="105">
        <f t="shared" si="88"/>
        <v>0</v>
      </c>
      <c r="AH128" s="106">
        <v>47.6</v>
      </c>
      <c r="AI128" s="105">
        <f t="shared" si="89"/>
        <v>9.3220338983050848</v>
      </c>
      <c r="AJ128" s="105">
        <v>11</v>
      </c>
      <c r="AK128" s="105">
        <f t="shared" si="90"/>
        <v>523.6</v>
      </c>
      <c r="AL128" s="106">
        <v>8.4</v>
      </c>
      <c r="AM128" s="105">
        <f t="shared" si="91"/>
        <v>12.711864406779661</v>
      </c>
      <c r="AN128" s="105">
        <v>15</v>
      </c>
      <c r="AO128" s="105">
        <f t="shared" si="92"/>
        <v>126</v>
      </c>
      <c r="AP128" s="105">
        <f t="shared" si="114"/>
        <v>7293.9830508474579</v>
      </c>
      <c r="AQ128" s="105">
        <f t="shared" si="115"/>
        <v>8606.9</v>
      </c>
      <c r="AR128" s="106">
        <v>1200</v>
      </c>
      <c r="AS128" s="105" t="s">
        <v>312</v>
      </c>
      <c r="AT128" s="107">
        <v>0</v>
      </c>
      <c r="AU128" s="107">
        <f t="shared" si="121"/>
        <v>5.0847457627118651</v>
      </c>
      <c r="AV128" s="107">
        <v>6</v>
      </c>
      <c r="AW128" s="107">
        <f t="shared" si="94"/>
        <v>6101.6949152542384</v>
      </c>
      <c r="AX128" s="107">
        <f t="shared" si="93"/>
        <v>7200</v>
      </c>
      <c r="AY128" s="108">
        <f t="shared" si="95"/>
        <v>13395.677966101695</v>
      </c>
      <c r="AZ128" s="109">
        <f t="shared" si="95"/>
        <v>15806.9</v>
      </c>
      <c r="BA128" s="9"/>
      <c r="BB128" s="9"/>
      <c r="BC128" s="9"/>
      <c r="BD128" s="9"/>
      <c r="BE128" s="45"/>
      <c r="BF128" s="45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</row>
    <row r="129" spans="1:93" s="4" customFormat="1" ht="183" outlineLevel="1" x14ac:dyDescent="0.25">
      <c r="A129" s="100">
        <f>A128+1</f>
        <v>101</v>
      </c>
      <c r="B129" s="101" t="s">
        <v>252</v>
      </c>
      <c r="C129" s="102" t="s">
        <v>137</v>
      </c>
      <c r="D129" s="103" t="s">
        <v>19</v>
      </c>
      <c r="E129" s="104">
        <f t="shared" si="119"/>
        <v>949.3</v>
      </c>
      <c r="F129" s="105">
        <v>0</v>
      </c>
      <c r="G129" s="105">
        <f t="shared" si="77"/>
        <v>16.949152542372882</v>
      </c>
      <c r="H129" s="105">
        <v>20</v>
      </c>
      <c r="I129" s="105">
        <f t="shared" si="78"/>
        <v>0</v>
      </c>
      <c r="J129" s="104">
        <v>135.30000000000001</v>
      </c>
      <c r="K129" s="105">
        <f t="shared" si="75"/>
        <v>12.711864406779661</v>
      </c>
      <c r="L129" s="105">
        <v>15</v>
      </c>
      <c r="M129" s="105">
        <f t="shared" si="79"/>
        <v>2029.5000000000002</v>
      </c>
      <c r="N129" s="106">
        <v>391.3</v>
      </c>
      <c r="O129" s="105">
        <f t="shared" si="80"/>
        <v>6.6101694915254239</v>
      </c>
      <c r="P129" s="105">
        <v>7.8</v>
      </c>
      <c r="Q129" s="105">
        <f t="shared" si="81"/>
        <v>3052.14</v>
      </c>
      <c r="R129" s="104">
        <v>73.900000000000006</v>
      </c>
      <c r="S129" s="105">
        <f t="shared" si="82"/>
        <v>13.220338983050848</v>
      </c>
      <c r="T129" s="105">
        <v>15.6</v>
      </c>
      <c r="U129" s="105">
        <f t="shared" si="83"/>
        <v>1152.8400000000001</v>
      </c>
      <c r="V129" s="105">
        <v>19.2</v>
      </c>
      <c r="W129" s="105">
        <v>4.2</v>
      </c>
      <c r="X129" s="105">
        <v>7</v>
      </c>
      <c r="Y129" s="105">
        <f t="shared" si="84"/>
        <v>134.4</v>
      </c>
      <c r="Z129" s="104">
        <f>149.5+26.4+24.4</f>
        <v>200.3</v>
      </c>
      <c r="AA129" s="105">
        <f t="shared" si="85"/>
        <v>5.5084745762711869</v>
      </c>
      <c r="AB129" s="105">
        <v>6.5</v>
      </c>
      <c r="AC129" s="105">
        <f t="shared" si="86"/>
        <v>1301.95</v>
      </c>
      <c r="AD129" s="105">
        <v>0</v>
      </c>
      <c r="AE129" s="105">
        <f t="shared" si="87"/>
        <v>4.2372881355932206</v>
      </c>
      <c r="AF129" s="105">
        <v>5</v>
      </c>
      <c r="AG129" s="105">
        <f t="shared" si="88"/>
        <v>0</v>
      </c>
      <c r="AH129" s="106">
        <v>117</v>
      </c>
      <c r="AI129" s="105">
        <f t="shared" si="89"/>
        <v>9.3220338983050848</v>
      </c>
      <c r="AJ129" s="105">
        <v>11</v>
      </c>
      <c r="AK129" s="105">
        <f t="shared" si="90"/>
        <v>1287</v>
      </c>
      <c r="AL129" s="106">
        <v>12.3</v>
      </c>
      <c r="AM129" s="105">
        <f t="shared" si="91"/>
        <v>12.711864406779661</v>
      </c>
      <c r="AN129" s="105">
        <v>15</v>
      </c>
      <c r="AO129" s="105">
        <f t="shared" si="92"/>
        <v>184.5</v>
      </c>
      <c r="AP129" s="105">
        <f t="shared" si="114"/>
        <v>7747.7372881355932</v>
      </c>
      <c r="AQ129" s="105">
        <f t="shared" si="115"/>
        <v>9142.33</v>
      </c>
      <c r="AR129" s="106">
        <v>2500</v>
      </c>
      <c r="AS129" s="105" t="s">
        <v>312</v>
      </c>
      <c r="AT129" s="107">
        <v>0</v>
      </c>
      <c r="AU129" s="107">
        <f t="shared" si="121"/>
        <v>5.0847457627118651</v>
      </c>
      <c r="AV129" s="107">
        <v>6</v>
      </c>
      <c r="AW129" s="107">
        <f t="shared" si="94"/>
        <v>12711.864406779663</v>
      </c>
      <c r="AX129" s="107">
        <f t="shared" si="93"/>
        <v>15000</v>
      </c>
      <c r="AY129" s="108">
        <f t="shared" si="95"/>
        <v>20459.601694915254</v>
      </c>
      <c r="AZ129" s="109">
        <f t="shared" si="95"/>
        <v>24142.33</v>
      </c>
      <c r="BA129" s="9"/>
      <c r="BB129" s="9"/>
      <c r="BC129" s="9"/>
      <c r="BD129" s="9"/>
      <c r="BE129" s="45"/>
      <c r="BF129" s="45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</row>
    <row r="130" spans="1:93" s="4" customFormat="1" ht="274.5" outlineLevel="1" x14ac:dyDescent="0.25">
      <c r="A130" s="100">
        <f>A129+1</f>
        <v>102</v>
      </c>
      <c r="B130" s="101" t="s">
        <v>252</v>
      </c>
      <c r="C130" s="102" t="s">
        <v>138</v>
      </c>
      <c r="D130" s="103" t="s">
        <v>19</v>
      </c>
      <c r="E130" s="104">
        <f t="shared" si="119"/>
        <v>666.9</v>
      </c>
      <c r="F130" s="105">
        <v>0</v>
      </c>
      <c r="G130" s="105">
        <f t="shared" si="77"/>
        <v>16.949152542372882</v>
      </c>
      <c r="H130" s="105">
        <v>20</v>
      </c>
      <c r="I130" s="105">
        <f t="shared" si="78"/>
        <v>0</v>
      </c>
      <c r="J130" s="104">
        <f>157.9+0.1</f>
        <v>158</v>
      </c>
      <c r="K130" s="105">
        <f t="shared" si="75"/>
        <v>12.711864406779661</v>
      </c>
      <c r="L130" s="105">
        <v>15</v>
      </c>
      <c r="M130" s="105">
        <f t="shared" si="79"/>
        <v>2370</v>
      </c>
      <c r="N130" s="106">
        <v>163</v>
      </c>
      <c r="O130" s="105">
        <f t="shared" si="80"/>
        <v>6.6101694915254239</v>
      </c>
      <c r="P130" s="105">
        <v>7.8</v>
      </c>
      <c r="Q130" s="105">
        <f t="shared" si="81"/>
        <v>1271.3999999999999</v>
      </c>
      <c r="R130" s="104">
        <v>76.3</v>
      </c>
      <c r="S130" s="105">
        <f t="shared" si="82"/>
        <v>13.220338983050848</v>
      </c>
      <c r="T130" s="105">
        <v>15.6</v>
      </c>
      <c r="U130" s="105">
        <f t="shared" si="83"/>
        <v>1190.28</v>
      </c>
      <c r="V130" s="105">
        <v>51.8</v>
      </c>
      <c r="W130" s="105">
        <f t="shared" ref="W130:W132" si="154">X130/1.18</f>
        <v>5.9322033898305087</v>
      </c>
      <c r="X130" s="105">
        <v>7</v>
      </c>
      <c r="Y130" s="105">
        <f t="shared" si="84"/>
        <v>362.59999999999997</v>
      </c>
      <c r="Z130" s="104">
        <f>157.3-34.4</f>
        <v>122.9</v>
      </c>
      <c r="AA130" s="105">
        <f t="shared" si="85"/>
        <v>5.5084745762711869</v>
      </c>
      <c r="AB130" s="105">
        <v>6.5</v>
      </c>
      <c r="AC130" s="105">
        <f t="shared" si="86"/>
        <v>798.85</v>
      </c>
      <c r="AD130" s="105">
        <v>0</v>
      </c>
      <c r="AE130" s="105">
        <f t="shared" si="87"/>
        <v>4.2372881355932206</v>
      </c>
      <c r="AF130" s="105">
        <v>5</v>
      </c>
      <c r="AG130" s="105">
        <f t="shared" si="88"/>
        <v>0</v>
      </c>
      <c r="AH130" s="106">
        <f>34.2+58.2</f>
        <v>92.4</v>
      </c>
      <c r="AI130" s="105">
        <f t="shared" si="89"/>
        <v>9.3220338983050848</v>
      </c>
      <c r="AJ130" s="105">
        <v>11</v>
      </c>
      <c r="AK130" s="105">
        <f t="shared" si="90"/>
        <v>1016.4000000000001</v>
      </c>
      <c r="AL130" s="106">
        <v>2.5</v>
      </c>
      <c r="AM130" s="105">
        <f t="shared" si="91"/>
        <v>12.711864406779661</v>
      </c>
      <c r="AN130" s="105">
        <v>15</v>
      </c>
      <c r="AO130" s="105">
        <f t="shared" si="92"/>
        <v>37.5</v>
      </c>
      <c r="AP130" s="105">
        <f t="shared" si="114"/>
        <v>5972.0593220338988</v>
      </c>
      <c r="AQ130" s="105">
        <f t="shared" si="115"/>
        <v>7047.0300000000007</v>
      </c>
      <c r="AR130" s="106">
        <v>1200</v>
      </c>
      <c r="AS130" s="105" t="s">
        <v>312</v>
      </c>
      <c r="AT130" s="107">
        <v>0</v>
      </c>
      <c r="AU130" s="107">
        <f t="shared" si="121"/>
        <v>5.0847457627118651</v>
      </c>
      <c r="AV130" s="107">
        <v>6</v>
      </c>
      <c r="AW130" s="107">
        <f t="shared" si="94"/>
        <v>6101.6949152542384</v>
      </c>
      <c r="AX130" s="107">
        <f t="shared" si="93"/>
        <v>7200</v>
      </c>
      <c r="AY130" s="108">
        <f t="shared" si="95"/>
        <v>12073.754237288136</v>
      </c>
      <c r="AZ130" s="109">
        <f t="shared" si="95"/>
        <v>14247.03</v>
      </c>
      <c r="BA130" s="9"/>
      <c r="BB130" s="9"/>
      <c r="BC130" s="9"/>
      <c r="BD130" s="9"/>
      <c r="BE130" s="45"/>
      <c r="BF130" s="45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</row>
    <row r="131" spans="1:93" s="4" customFormat="1" ht="45.75" outlineLevel="1" x14ac:dyDescent="0.25">
      <c r="A131" s="151" t="s">
        <v>60</v>
      </c>
      <c r="B131" s="152"/>
      <c r="C131" s="152"/>
      <c r="D131" s="110"/>
      <c r="E131" s="104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1"/>
      <c r="AQ131" s="111"/>
      <c r="AR131" s="110"/>
      <c r="AS131" s="105"/>
      <c r="AT131" s="110"/>
      <c r="AU131" s="110"/>
      <c r="AV131" s="110"/>
      <c r="AW131" s="110"/>
      <c r="AX131" s="110"/>
      <c r="AY131" s="111"/>
      <c r="AZ131" s="112"/>
      <c r="BA131" s="9"/>
      <c r="BB131" s="9"/>
      <c r="BC131" s="9"/>
      <c r="BD131" s="9"/>
      <c r="BE131" s="45"/>
      <c r="BF131" s="45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</row>
    <row r="132" spans="1:93" s="4" customFormat="1" ht="183" outlineLevel="1" x14ac:dyDescent="0.25">
      <c r="A132" s="100">
        <f>A130+1</f>
        <v>103</v>
      </c>
      <c r="B132" s="101" t="s">
        <v>17</v>
      </c>
      <c r="C132" s="102" t="s">
        <v>139</v>
      </c>
      <c r="D132" s="103" t="s">
        <v>19</v>
      </c>
      <c r="E132" s="104">
        <f t="shared" si="119"/>
        <v>560.60000000000014</v>
      </c>
      <c r="F132" s="105">
        <v>0</v>
      </c>
      <c r="G132" s="105">
        <f t="shared" si="77"/>
        <v>16.949152542372882</v>
      </c>
      <c r="H132" s="105">
        <v>20</v>
      </c>
      <c r="I132" s="105">
        <f t="shared" si="78"/>
        <v>0</v>
      </c>
      <c r="J132" s="104">
        <f>359.8-10.9</f>
        <v>348.90000000000003</v>
      </c>
      <c r="K132" s="105">
        <f t="shared" si="75"/>
        <v>12.711864406779661</v>
      </c>
      <c r="L132" s="105">
        <v>15</v>
      </c>
      <c r="M132" s="105">
        <f t="shared" si="79"/>
        <v>5233.5000000000009</v>
      </c>
      <c r="N132" s="106">
        <v>5.2</v>
      </c>
      <c r="O132" s="105">
        <f t="shared" si="80"/>
        <v>6.6101694915254239</v>
      </c>
      <c r="P132" s="105">
        <v>7.8</v>
      </c>
      <c r="Q132" s="105">
        <f t="shared" si="81"/>
        <v>40.56</v>
      </c>
      <c r="R132" s="104">
        <v>52.8</v>
      </c>
      <c r="S132" s="105">
        <f t="shared" si="82"/>
        <v>13.220338983050848</v>
      </c>
      <c r="T132" s="105">
        <v>15.6</v>
      </c>
      <c r="U132" s="105">
        <f t="shared" si="83"/>
        <v>823.68</v>
      </c>
      <c r="V132" s="105">
        <v>0</v>
      </c>
      <c r="W132" s="105">
        <f t="shared" si="154"/>
        <v>5.9322033898305087</v>
      </c>
      <c r="X132" s="105">
        <v>7</v>
      </c>
      <c r="Y132" s="105">
        <f t="shared" si="84"/>
        <v>0</v>
      </c>
      <c r="Z132" s="104">
        <f>135.5</f>
        <v>135.5</v>
      </c>
      <c r="AA132" s="105">
        <f t="shared" si="85"/>
        <v>5.5084745762711869</v>
      </c>
      <c r="AB132" s="105">
        <v>6.5</v>
      </c>
      <c r="AC132" s="105">
        <f t="shared" si="86"/>
        <v>880.75</v>
      </c>
      <c r="AD132" s="105">
        <v>0</v>
      </c>
      <c r="AE132" s="105">
        <f t="shared" si="87"/>
        <v>4.2372881355932206</v>
      </c>
      <c r="AF132" s="105">
        <v>5</v>
      </c>
      <c r="AG132" s="105">
        <f t="shared" si="88"/>
        <v>0</v>
      </c>
      <c r="AH132" s="106">
        <v>0</v>
      </c>
      <c r="AI132" s="105">
        <f t="shared" si="89"/>
        <v>9.3220338983050848</v>
      </c>
      <c r="AJ132" s="105">
        <v>11</v>
      </c>
      <c r="AK132" s="105">
        <f t="shared" si="90"/>
        <v>0</v>
      </c>
      <c r="AL132" s="106">
        <v>18.2</v>
      </c>
      <c r="AM132" s="105">
        <f t="shared" si="91"/>
        <v>12.711864406779661</v>
      </c>
      <c r="AN132" s="105">
        <v>15</v>
      </c>
      <c r="AO132" s="105">
        <f t="shared" si="92"/>
        <v>273</v>
      </c>
      <c r="AP132" s="105">
        <f t="shared" si="114"/>
        <v>6145.330508474578</v>
      </c>
      <c r="AQ132" s="105">
        <f t="shared" si="115"/>
        <v>7251.4900000000016</v>
      </c>
      <c r="AR132" s="106">
        <v>1900</v>
      </c>
      <c r="AS132" s="105" t="s">
        <v>312</v>
      </c>
      <c r="AT132" s="107">
        <v>0</v>
      </c>
      <c r="AU132" s="107">
        <f t="shared" si="121"/>
        <v>5.0847457627118651</v>
      </c>
      <c r="AV132" s="107">
        <v>6</v>
      </c>
      <c r="AW132" s="107">
        <f t="shared" si="94"/>
        <v>9661.016949152543</v>
      </c>
      <c r="AX132" s="107">
        <f t="shared" si="93"/>
        <v>11400</v>
      </c>
      <c r="AY132" s="108">
        <f t="shared" si="95"/>
        <v>15806.347457627122</v>
      </c>
      <c r="AZ132" s="109">
        <f t="shared" si="95"/>
        <v>18651.490000000002</v>
      </c>
      <c r="BA132" s="9"/>
      <c r="BB132" s="9"/>
      <c r="BC132" s="9"/>
      <c r="BD132" s="9"/>
      <c r="BE132" s="45"/>
      <c r="BF132" s="45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</row>
    <row r="133" spans="1:93" s="4" customFormat="1" ht="183" outlineLevel="1" x14ac:dyDescent="0.25">
      <c r="A133" s="100">
        <f>A132+1</f>
        <v>104</v>
      </c>
      <c r="B133" s="101" t="s">
        <v>253</v>
      </c>
      <c r="C133" s="102" t="s">
        <v>140</v>
      </c>
      <c r="D133" s="103" t="s">
        <v>19</v>
      </c>
      <c r="E133" s="104">
        <f t="shared" si="119"/>
        <v>388.59999999999997</v>
      </c>
      <c r="F133" s="105">
        <v>0</v>
      </c>
      <c r="G133" s="105">
        <f t="shared" si="77"/>
        <v>16.949152542372882</v>
      </c>
      <c r="H133" s="105">
        <v>20</v>
      </c>
      <c r="I133" s="105">
        <f t="shared" si="78"/>
        <v>0</v>
      </c>
      <c r="J133" s="104">
        <v>0</v>
      </c>
      <c r="K133" s="105">
        <f t="shared" si="75"/>
        <v>12.711864406779661</v>
      </c>
      <c r="L133" s="105">
        <v>15</v>
      </c>
      <c r="M133" s="105">
        <f t="shared" si="79"/>
        <v>0</v>
      </c>
      <c r="N133" s="106">
        <v>207.6</v>
      </c>
      <c r="O133" s="105">
        <f t="shared" si="80"/>
        <v>6.6101694915254239</v>
      </c>
      <c r="P133" s="105">
        <v>7.8</v>
      </c>
      <c r="Q133" s="105">
        <f t="shared" si="81"/>
        <v>1619.28</v>
      </c>
      <c r="R133" s="104">
        <v>0</v>
      </c>
      <c r="S133" s="105">
        <f t="shared" si="82"/>
        <v>13.220338983050848</v>
      </c>
      <c r="T133" s="105">
        <v>15.6</v>
      </c>
      <c r="U133" s="105">
        <f t="shared" si="83"/>
        <v>0</v>
      </c>
      <c r="V133" s="105">
        <v>21.1</v>
      </c>
      <c r="W133" s="105">
        <v>4.2</v>
      </c>
      <c r="X133" s="105">
        <v>7</v>
      </c>
      <c r="Y133" s="105">
        <f t="shared" si="84"/>
        <v>147.70000000000002</v>
      </c>
      <c r="Z133" s="104">
        <f>132.4+18.6</f>
        <v>151</v>
      </c>
      <c r="AA133" s="105">
        <f t="shared" si="85"/>
        <v>5.5084745762711869</v>
      </c>
      <c r="AB133" s="105">
        <v>6.5</v>
      </c>
      <c r="AC133" s="105">
        <f t="shared" si="86"/>
        <v>981.5</v>
      </c>
      <c r="AD133" s="105">
        <v>0</v>
      </c>
      <c r="AE133" s="105">
        <f t="shared" si="87"/>
        <v>4.2372881355932206</v>
      </c>
      <c r="AF133" s="105">
        <v>5</v>
      </c>
      <c r="AG133" s="105">
        <f t="shared" si="88"/>
        <v>0</v>
      </c>
      <c r="AH133" s="106">
        <v>0</v>
      </c>
      <c r="AI133" s="105">
        <f t="shared" si="89"/>
        <v>9.3220338983050848</v>
      </c>
      <c r="AJ133" s="105">
        <v>11</v>
      </c>
      <c r="AK133" s="105">
        <f t="shared" si="90"/>
        <v>0</v>
      </c>
      <c r="AL133" s="106">
        <v>8.9</v>
      </c>
      <c r="AM133" s="105">
        <f t="shared" si="91"/>
        <v>12.711864406779661</v>
      </c>
      <c r="AN133" s="105">
        <v>15</v>
      </c>
      <c r="AO133" s="105">
        <f t="shared" si="92"/>
        <v>133.5</v>
      </c>
      <c r="AP133" s="105">
        <f t="shared" si="114"/>
        <v>2442.3559322033898</v>
      </c>
      <c r="AQ133" s="105">
        <f t="shared" si="115"/>
        <v>2881.98</v>
      </c>
      <c r="AR133" s="106">
        <v>6560</v>
      </c>
      <c r="AS133" s="105" t="s">
        <v>312</v>
      </c>
      <c r="AT133" s="107">
        <v>0</v>
      </c>
      <c r="AU133" s="107">
        <f t="shared" si="121"/>
        <v>5.0847457627118651</v>
      </c>
      <c r="AV133" s="107">
        <v>6</v>
      </c>
      <c r="AW133" s="107">
        <f t="shared" si="94"/>
        <v>33355.932203389835</v>
      </c>
      <c r="AX133" s="107">
        <f t="shared" si="93"/>
        <v>39360</v>
      </c>
      <c r="AY133" s="108">
        <f t="shared" si="95"/>
        <v>35798.288135593226</v>
      </c>
      <c r="AZ133" s="109">
        <f t="shared" si="95"/>
        <v>42241.98</v>
      </c>
      <c r="BA133" s="9"/>
      <c r="BB133" s="9"/>
      <c r="BC133" s="9"/>
      <c r="BD133" s="9"/>
      <c r="BE133" s="45"/>
      <c r="BF133" s="45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</row>
    <row r="134" spans="1:93" s="4" customFormat="1" ht="274.5" outlineLevel="1" x14ac:dyDescent="0.25">
      <c r="A134" s="100">
        <f>A133+1</f>
        <v>105</v>
      </c>
      <c r="B134" s="101" t="s">
        <v>253</v>
      </c>
      <c r="C134" s="102" t="s">
        <v>141</v>
      </c>
      <c r="D134" s="103" t="s">
        <v>19</v>
      </c>
      <c r="E134" s="104">
        <f t="shared" si="119"/>
        <v>2817.2000000000003</v>
      </c>
      <c r="F134" s="105">
        <v>0</v>
      </c>
      <c r="G134" s="105">
        <f t="shared" si="77"/>
        <v>16.949152542372882</v>
      </c>
      <c r="H134" s="105">
        <v>20</v>
      </c>
      <c r="I134" s="105">
        <f t="shared" si="78"/>
        <v>0</v>
      </c>
      <c r="J134" s="104">
        <v>475.9</v>
      </c>
      <c r="K134" s="105">
        <f t="shared" si="75"/>
        <v>12.711864406779661</v>
      </c>
      <c r="L134" s="105">
        <v>15</v>
      </c>
      <c r="M134" s="105">
        <f t="shared" si="79"/>
        <v>7138.5</v>
      </c>
      <c r="N134" s="106">
        <v>1223.9000000000001</v>
      </c>
      <c r="O134" s="105">
        <f t="shared" si="80"/>
        <v>6.6101694915254239</v>
      </c>
      <c r="P134" s="105">
        <v>7.8</v>
      </c>
      <c r="Q134" s="105">
        <f t="shared" si="81"/>
        <v>9546.42</v>
      </c>
      <c r="R134" s="104">
        <v>0</v>
      </c>
      <c r="S134" s="105">
        <f t="shared" si="82"/>
        <v>13.220338983050848</v>
      </c>
      <c r="T134" s="105">
        <v>15.6</v>
      </c>
      <c r="U134" s="105">
        <f t="shared" si="83"/>
        <v>0</v>
      </c>
      <c r="V134" s="105">
        <v>204.7</v>
      </c>
      <c r="W134" s="105">
        <f t="shared" ref="W134:W136" si="155">X134/1.18</f>
        <v>5.9322033898305087</v>
      </c>
      <c r="X134" s="105">
        <v>7</v>
      </c>
      <c r="Y134" s="105">
        <f t="shared" si="84"/>
        <v>1432.8999999999999</v>
      </c>
      <c r="Z134" s="104">
        <v>731.2</v>
      </c>
      <c r="AA134" s="105">
        <f t="shared" si="85"/>
        <v>5.5084745762711869</v>
      </c>
      <c r="AB134" s="105">
        <v>6.5</v>
      </c>
      <c r="AC134" s="105">
        <f t="shared" si="86"/>
        <v>4752.8</v>
      </c>
      <c r="AD134" s="105">
        <v>0</v>
      </c>
      <c r="AE134" s="105">
        <f t="shared" si="87"/>
        <v>4.2372881355932206</v>
      </c>
      <c r="AF134" s="105">
        <v>5</v>
      </c>
      <c r="AG134" s="105">
        <f t="shared" si="88"/>
        <v>0</v>
      </c>
      <c r="AH134" s="106">
        <v>154.5</v>
      </c>
      <c r="AI134" s="105">
        <f t="shared" si="89"/>
        <v>9.3220338983050848</v>
      </c>
      <c r="AJ134" s="105">
        <v>11</v>
      </c>
      <c r="AK134" s="105">
        <f t="shared" si="90"/>
        <v>1699.5</v>
      </c>
      <c r="AL134" s="106">
        <v>27</v>
      </c>
      <c r="AM134" s="105">
        <f t="shared" si="91"/>
        <v>12.711864406779661</v>
      </c>
      <c r="AN134" s="105">
        <v>15</v>
      </c>
      <c r="AO134" s="105">
        <f t="shared" si="92"/>
        <v>405</v>
      </c>
      <c r="AP134" s="105">
        <f t="shared" si="114"/>
        <v>21165.355932203391</v>
      </c>
      <c r="AQ134" s="105">
        <f t="shared" si="115"/>
        <v>24975.119999999999</v>
      </c>
      <c r="AR134" s="106">
        <v>640</v>
      </c>
      <c r="AS134" s="105" t="s">
        <v>312</v>
      </c>
      <c r="AT134" s="107">
        <v>0</v>
      </c>
      <c r="AU134" s="107">
        <f t="shared" si="121"/>
        <v>5.0847457627118651</v>
      </c>
      <c r="AV134" s="107">
        <v>6</v>
      </c>
      <c r="AW134" s="107">
        <f t="shared" si="94"/>
        <v>3254.2372881355936</v>
      </c>
      <c r="AX134" s="107">
        <f t="shared" si="93"/>
        <v>3840</v>
      </c>
      <c r="AY134" s="108">
        <f t="shared" si="95"/>
        <v>24419.593220338986</v>
      </c>
      <c r="AZ134" s="109">
        <f t="shared" si="95"/>
        <v>28815.119999999999</v>
      </c>
      <c r="BA134" s="9"/>
      <c r="BB134" s="9"/>
      <c r="BC134" s="9"/>
      <c r="BD134" s="9"/>
      <c r="BE134" s="45"/>
      <c r="BF134" s="45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</row>
    <row r="135" spans="1:93" s="4" customFormat="1" ht="45.75" outlineLevel="1" x14ac:dyDescent="0.25">
      <c r="A135" s="149" t="s">
        <v>61</v>
      </c>
      <c r="B135" s="150"/>
      <c r="C135" s="150"/>
      <c r="D135" s="133"/>
      <c r="E135" s="104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11"/>
      <c r="AQ135" s="111"/>
      <c r="AR135" s="133"/>
      <c r="AS135" s="105"/>
      <c r="AT135" s="133"/>
      <c r="AU135" s="133"/>
      <c r="AV135" s="133"/>
      <c r="AW135" s="133"/>
      <c r="AX135" s="133"/>
      <c r="AY135" s="111"/>
      <c r="AZ135" s="112"/>
      <c r="BA135" s="9"/>
      <c r="BB135" s="9"/>
      <c r="BC135" s="9"/>
      <c r="BD135" s="9"/>
      <c r="BE135" s="45"/>
      <c r="BF135" s="45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</row>
    <row r="136" spans="1:93" s="4" customFormat="1" ht="183" outlineLevel="1" x14ac:dyDescent="0.25">
      <c r="A136" s="100">
        <f>A134+1</f>
        <v>106</v>
      </c>
      <c r="B136" s="136" t="s">
        <v>265</v>
      </c>
      <c r="C136" s="102" t="s">
        <v>142</v>
      </c>
      <c r="D136" s="103" t="s">
        <v>19</v>
      </c>
      <c r="E136" s="104">
        <f t="shared" si="119"/>
        <v>5.2</v>
      </c>
      <c r="F136" s="105">
        <v>0</v>
      </c>
      <c r="G136" s="105">
        <f t="shared" si="77"/>
        <v>16.949152542372882</v>
      </c>
      <c r="H136" s="105">
        <v>20</v>
      </c>
      <c r="I136" s="105">
        <f t="shared" si="78"/>
        <v>0</v>
      </c>
      <c r="J136" s="104">
        <v>0</v>
      </c>
      <c r="K136" s="105">
        <f t="shared" si="75"/>
        <v>12.711864406779661</v>
      </c>
      <c r="L136" s="105">
        <v>15</v>
      </c>
      <c r="M136" s="105">
        <f t="shared" si="79"/>
        <v>0</v>
      </c>
      <c r="N136" s="106">
        <v>5.2</v>
      </c>
      <c r="O136" s="105">
        <f t="shared" si="80"/>
        <v>6.6101694915254239</v>
      </c>
      <c r="P136" s="105">
        <v>7.8</v>
      </c>
      <c r="Q136" s="105">
        <f t="shared" si="81"/>
        <v>40.56</v>
      </c>
      <c r="R136" s="104">
        <v>0</v>
      </c>
      <c r="S136" s="105">
        <f t="shared" si="82"/>
        <v>13.220338983050848</v>
      </c>
      <c r="T136" s="105">
        <v>15.6</v>
      </c>
      <c r="U136" s="105">
        <f t="shared" si="83"/>
        <v>0</v>
      </c>
      <c r="V136" s="105">
        <v>0</v>
      </c>
      <c r="W136" s="105">
        <f t="shared" si="155"/>
        <v>5.9322033898305087</v>
      </c>
      <c r="X136" s="105">
        <v>7</v>
      </c>
      <c r="Y136" s="105">
        <f t="shared" si="84"/>
        <v>0</v>
      </c>
      <c r="Z136" s="104">
        <v>0</v>
      </c>
      <c r="AA136" s="105">
        <f t="shared" si="85"/>
        <v>5.5084745762711869</v>
      </c>
      <c r="AB136" s="105">
        <v>6.5</v>
      </c>
      <c r="AC136" s="105">
        <f t="shared" si="86"/>
        <v>0</v>
      </c>
      <c r="AD136" s="105">
        <v>0</v>
      </c>
      <c r="AE136" s="105">
        <f t="shared" si="87"/>
        <v>4.2372881355932206</v>
      </c>
      <c r="AF136" s="105">
        <v>5</v>
      </c>
      <c r="AG136" s="105">
        <f t="shared" si="88"/>
        <v>0</v>
      </c>
      <c r="AH136" s="106">
        <v>0</v>
      </c>
      <c r="AI136" s="105">
        <f t="shared" si="89"/>
        <v>9.3220338983050848</v>
      </c>
      <c r="AJ136" s="105">
        <v>11</v>
      </c>
      <c r="AK136" s="105">
        <f t="shared" si="90"/>
        <v>0</v>
      </c>
      <c r="AL136" s="106">
        <v>0</v>
      </c>
      <c r="AM136" s="105">
        <f t="shared" si="91"/>
        <v>12.711864406779661</v>
      </c>
      <c r="AN136" s="105">
        <v>15</v>
      </c>
      <c r="AO136" s="105">
        <f t="shared" si="92"/>
        <v>0</v>
      </c>
      <c r="AP136" s="105">
        <f t="shared" si="114"/>
        <v>34.372881355932208</v>
      </c>
      <c r="AQ136" s="105">
        <f t="shared" si="115"/>
        <v>40.56</v>
      </c>
      <c r="AR136" s="106">
        <v>0</v>
      </c>
      <c r="AS136" s="105" t="s">
        <v>312</v>
      </c>
      <c r="AT136" s="107">
        <v>0</v>
      </c>
      <c r="AU136" s="107">
        <f t="shared" si="121"/>
        <v>5.0847457627118651</v>
      </c>
      <c r="AV136" s="107">
        <v>6</v>
      </c>
      <c r="AW136" s="107">
        <f t="shared" si="94"/>
        <v>0</v>
      </c>
      <c r="AX136" s="107">
        <f t="shared" si="93"/>
        <v>0</v>
      </c>
      <c r="AY136" s="108">
        <f t="shared" si="95"/>
        <v>34.372881355932208</v>
      </c>
      <c r="AZ136" s="109">
        <f t="shared" si="95"/>
        <v>40.56</v>
      </c>
      <c r="BA136" s="9"/>
      <c r="BB136" s="9"/>
      <c r="BC136" s="9"/>
      <c r="BD136" s="9"/>
      <c r="BE136" s="45"/>
      <c r="BF136" s="45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</row>
    <row r="137" spans="1:93" s="4" customFormat="1" ht="183" outlineLevel="1" x14ac:dyDescent="0.25">
      <c r="A137" s="100">
        <f>A136+1</f>
        <v>107</v>
      </c>
      <c r="B137" s="101" t="s">
        <v>265</v>
      </c>
      <c r="C137" s="102" t="s">
        <v>143</v>
      </c>
      <c r="D137" s="103" t="s">
        <v>19</v>
      </c>
      <c r="E137" s="104">
        <f t="shared" si="119"/>
        <v>5.2</v>
      </c>
      <c r="F137" s="105">
        <v>0</v>
      </c>
      <c r="G137" s="105">
        <f t="shared" si="77"/>
        <v>16.949152542372882</v>
      </c>
      <c r="H137" s="105">
        <v>20</v>
      </c>
      <c r="I137" s="105">
        <f t="shared" si="78"/>
        <v>0</v>
      </c>
      <c r="J137" s="104">
        <v>0</v>
      </c>
      <c r="K137" s="105">
        <f t="shared" ref="K137:K213" si="156">L137/1.18</f>
        <v>12.711864406779661</v>
      </c>
      <c r="L137" s="105">
        <v>15</v>
      </c>
      <c r="M137" s="105">
        <f t="shared" si="79"/>
        <v>0</v>
      </c>
      <c r="N137" s="106">
        <v>5.2</v>
      </c>
      <c r="O137" s="105">
        <f t="shared" si="80"/>
        <v>6.6101694915254239</v>
      </c>
      <c r="P137" s="105">
        <v>7.8</v>
      </c>
      <c r="Q137" s="105">
        <f t="shared" si="81"/>
        <v>40.56</v>
      </c>
      <c r="R137" s="104">
        <v>0</v>
      </c>
      <c r="S137" s="105">
        <f t="shared" si="82"/>
        <v>13.220338983050848</v>
      </c>
      <c r="T137" s="105">
        <v>15.6</v>
      </c>
      <c r="U137" s="105">
        <f t="shared" si="83"/>
        <v>0</v>
      </c>
      <c r="V137" s="105">
        <v>0</v>
      </c>
      <c r="W137" s="105">
        <v>4.2</v>
      </c>
      <c r="X137" s="105">
        <v>7</v>
      </c>
      <c r="Y137" s="105">
        <f t="shared" si="84"/>
        <v>0</v>
      </c>
      <c r="Z137" s="104">
        <v>0</v>
      </c>
      <c r="AA137" s="105">
        <f t="shared" si="85"/>
        <v>5.5084745762711869</v>
      </c>
      <c r="AB137" s="105">
        <v>6.5</v>
      </c>
      <c r="AC137" s="105">
        <f t="shared" si="86"/>
        <v>0</v>
      </c>
      <c r="AD137" s="105">
        <v>0</v>
      </c>
      <c r="AE137" s="105">
        <f t="shared" si="87"/>
        <v>4.2372881355932206</v>
      </c>
      <c r="AF137" s="105">
        <v>5</v>
      </c>
      <c r="AG137" s="105">
        <f t="shared" si="88"/>
        <v>0</v>
      </c>
      <c r="AH137" s="106">
        <v>0</v>
      </c>
      <c r="AI137" s="105">
        <f t="shared" si="89"/>
        <v>9.3220338983050848</v>
      </c>
      <c r="AJ137" s="105">
        <v>11</v>
      </c>
      <c r="AK137" s="105">
        <f t="shared" si="90"/>
        <v>0</v>
      </c>
      <c r="AL137" s="106">
        <v>0</v>
      </c>
      <c r="AM137" s="105">
        <f t="shared" si="91"/>
        <v>12.711864406779661</v>
      </c>
      <c r="AN137" s="105">
        <v>15</v>
      </c>
      <c r="AO137" s="105">
        <f t="shared" si="92"/>
        <v>0</v>
      </c>
      <c r="AP137" s="105">
        <f t="shared" si="114"/>
        <v>34.372881355932208</v>
      </c>
      <c r="AQ137" s="105">
        <f t="shared" si="115"/>
        <v>40.56</v>
      </c>
      <c r="AR137" s="106">
        <v>0</v>
      </c>
      <c r="AS137" s="105" t="s">
        <v>312</v>
      </c>
      <c r="AT137" s="107">
        <v>0</v>
      </c>
      <c r="AU137" s="107">
        <f t="shared" si="121"/>
        <v>5.0847457627118651</v>
      </c>
      <c r="AV137" s="107">
        <v>6</v>
      </c>
      <c r="AW137" s="107">
        <f t="shared" si="94"/>
        <v>0</v>
      </c>
      <c r="AX137" s="107">
        <f t="shared" si="93"/>
        <v>0</v>
      </c>
      <c r="AY137" s="108">
        <f t="shared" si="95"/>
        <v>34.372881355932208</v>
      </c>
      <c r="AZ137" s="109">
        <f t="shared" si="95"/>
        <v>40.56</v>
      </c>
      <c r="BA137" s="9"/>
      <c r="BB137" s="9"/>
      <c r="BC137" s="9"/>
      <c r="BD137" s="9"/>
      <c r="BE137" s="45"/>
      <c r="BF137" s="45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</row>
    <row r="138" spans="1:93" s="4" customFormat="1" ht="183" outlineLevel="1" x14ac:dyDescent="0.25">
      <c r="A138" s="100">
        <f t="shared" ref="A138:A163" si="157">A137+1</f>
        <v>108</v>
      </c>
      <c r="B138" s="101" t="s">
        <v>265</v>
      </c>
      <c r="C138" s="102" t="s">
        <v>144</v>
      </c>
      <c r="D138" s="103" t="s">
        <v>19</v>
      </c>
      <c r="E138" s="104">
        <f t="shared" si="119"/>
        <v>5.2</v>
      </c>
      <c r="F138" s="105">
        <v>0</v>
      </c>
      <c r="G138" s="105">
        <f t="shared" si="77"/>
        <v>16.949152542372882</v>
      </c>
      <c r="H138" s="105">
        <v>20</v>
      </c>
      <c r="I138" s="105">
        <f t="shared" si="78"/>
        <v>0</v>
      </c>
      <c r="J138" s="104">
        <v>0</v>
      </c>
      <c r="K138" s="105">
        <f t="shared" si="156"/>
        <v>12.711864406779661</v>
      </c>
      <c r="L138" s="105">
        <v>15</v>
      </c>
      <c r="M138" s="105">
        <f t="shared" si="79"/>
        <v>0</v>
      </c>
      <c r="N138" s="106">
        <v>5.2</v>
      </c>
      <c r="O138" s="105">
        <f t="shared" si="80"/>
        <v>6.6101694915254239</v>
      </c>
      <c r="P138" s="105">
        <v>7.8</v>
      </c>
      <c r="Q138" s="105">
        <f t="shared" si="81"/>
        <v>40.56</v>
      </c>
      <c r="R138" s="104">
        <v>0</v>
      </c>
      <c r="S138" s="105">
        <f t="shared" si="82"/>
        <v>13.220338983050848</v>
      </c>
      <c r="T138" s="105">
        <v>15.6</v>
      </c>
      <c r="U138" s="105">
        <f t="shared" si="83"/>
        <v>0</v>
      </c>
      <c r="V138" s="105">
        <v>0</v>
      </c>
      <c r="W138" s="105">
        <f t="shared" ref="W138:W140" si="158">X138/1.18</f>
        <v>5.9322033898305087</v>
      </c>
      <c r="X138" s="105">
        <v>7</v>
      </c>
      <c r="Y138" s="105">
        <f t="shared" si="84"/>
        <v>0</v>
      </c>
      <c r="Z138" s="104">
        <v>0</v>
      </c>
      <c r="AA138" s="105">
        <f t="shared" si="85"/>
        <v>5.5084745762711869</v>
      </c>
      <c r="AB138" s="105">
        <v>6.5</v>
      </c>
      <c r="AC138" s="105">
        <f t="shared" si="86"/>
        <v>0</v>
      </c>
      <c r="AD138" s="105">
        <v>0</v>
      </c>
      <c r="AE138" s="105">
        <f t="shared" si="87"/>
        <v>4.2372881355932206</v>
      </c>
      <c r="AF138" s="105">
        <v>5</v>
      </c>
      <c r="AG138" s="105">
        <f t="shared" si="88"/>
        <v>0</v>
      </c>
      <c r="AH138" s="106">
        <v>0</v>
      </c>
      <c r="AI138" s="105">
        <f t="shared" si="89"/>
        <v>9.3220338983050848</v>
      </c>
      <c r="AJ138" s="105">
        <v>11</v>
      </c>
      <c r="AK138" s="105">
        <f t="shared" si="90"/>
        <v>0</v>
      </c>
      <c r="AL138" s="106">
        <v>0</v>
      </c>
      <c r="AM138" s="105">
        <f t="shared" si="91"/>
        <v>12.711864406779661</v>
      </c>
      <c r="AN138" s="105">
        <v>15</v>
      </c>
      <c r="AO138" s="105">
        <f t="shared" si="92"/>
        <v>0</v>
      </c>
      <c r="AP138" s="105">
        <f t="shared" si="114"/>
        <v>34.372881355932208</v>
      </c>
      <c r="AQ138" s="105">
        <f t="shared" si="115"/>
        <v>40.56</v>
      </c>
      <c r="AR138" s="106">
        <v>0</v>
      </c>
      <c r="AS138" s="105" t="s">
        <v>312</v>
      </c>
      <c r="AT138" s="107">
        <v>0</v>
      </c>
      <c r="AU138" s="107">
        <f t="shared" si="121"/>
        <v>5.0847457627118651</v>
      </c>
      <c r="AV138" s="107">
        <v>6</v>
      </c>
      <c r="AW138" s="107">
        <f t="shared" si="94"/>
        <v>0</v>
      </c>
      <c r="AX138" s="107">
        <f t="shared" si="93"/>
        <v>0</v>
      </c>
      <c r="AY138" s="108">
        <f t="shared" si="95"/>
        <v>34.372881355932208</v>
      </c>
      <c r="AZ138" s="109">
        <f t="shared" si="95"/>
        <v>40.56</v>
      </c>
      <c r="BA138" s="9"/>
      <c r="BB138" s="9"/>
      <c r="BC138" s="9"/>
      <c r="BD138" s="9"/>
      <c r="BE138" s="45"/>
      <c r="BF138" s="45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</row>
    <row r="139" spans="1:93" s="4" customFormat="1" ht="183" outlineLevel="1" x14ac:dyDescent="0.25">
      <c r="A139" s="100">
        <f t="shared" si="157"/>
        <v>109</v>
      </c>
      <c r="B139" s="101" t="s">
        <v>265</v>
      </c>
      <c r="C139" s="102" t="s">
        <v>145</v>
      </c>
      <c r="D139" s="103" t="s">
        <v>19</v>
      </c>
      <c r="E139" s="104">
        <f t="shared" si="119"/>
        <v>5.2</v>
      </c>
      <c r="F139" s="105">
        <v>0</v>
      </c>
      <c r="G139" s="105">
        <f t="shared" ref="G139:G213" si="159">H139/1.18</f>
        <v>16.949152542372882</v>
      </c>
      <c r="H139" s="105">
        <v>20</v>
      </c>
      <c r="I139" s="105">
        <f t="shared" si="78"/>
        <v>0</v>
      </c>
      <c r="J139" s="104">
        <v>0</v>
      </c>
      <c r="K139" s="105">
        <f t="shared" si="156"/>
        <v>12.711864406779661</v>
      </c>
      <c r="L139" s="105">
        <v>15</v>
      </c>
      <c r="M139" s="105">
        <f t="shared" si="79"/>
        <v>0</v>
      </c>
      <c r="N139" s="106">
        <v>5.2</v>
      </c>
      <c r="O139" s="105">
        <f t="shared" si="80"/>
        <v>6.6101694915254239</v>
      </c>
      <c r="P139" s="105">
        <v>7.8</v>
      </c>
      <c r="Q139" s="105">
        <f t="shared" si="81"/>
        <v>40.56</v>
      </c>
      <c r="R139" s="104">
        <v>0</v>
      </c>
      <c r="S139" s="105">
        <f t="shared" si="82"/>
        <v>13.220338983050848</v>
      </c>
      <c r="T139" s="105">
        <v>15.6</v>
      </c>
      <c r="U139" s="105">
        <f t="shared" si="83"/>
        <v>0</v>
      </c>
      <c r="V139" s="105">
        <v>0</v>
      </c>
      <c r="W139" s="105">
        <f t="shared" si="158"/>
        <v>5.9322033898305087</v>
      </c>
      <c r="X139" s="105">
        <v>7</v>
      </c>
      <c r="Y139" s="105">
        <f t="shared" si="84"/>
        <v>0</v>
      </c>
      <c r="Z139" s="104">
        <v>0</v>
      </c>
      <c r="AA139" s="105">
        <f t="shared" ref="AA139:AA213" si="160">AB139/1.18</f>
        <v>5.5084745762711869</v>
      </c>
      <c r="AB139" s="105">
        <v>6.5</v>
      </c>
      <c r="AC139" s="105">
        <f t="shared" si="86"/>
        <v>0</v>
      </c>
      <c r="AD139" s="105">
        <v>0</v>
      </c>
      <c r="AE139" s="105">
        <f t="shared" ref="AE139:AE213" si="161">AF139/1.18</f>
        <v>4.2372881355932206</v>
      </c>
      <c r="AF139" s="105">
        <v>5</v>
      </c>
      <c r="AG139" s="105">
        <f t="shared" si="88"/>
        <v>0</v>
      </c>
      <c r="AH139" s="106">
        <v>0</v>
      </c>
      <c r="AI139" s="105">
        <f t="shared" ref="AI139:AI213" si="162">AJ139/1.18</f>
        <v>9.3220338983050848</v>
      </c>
      <c r="AJ139" s="105">
        <v>11</v>
      </c>
      <c r="AK139" s="105">
        <f t="shared" si="90"/>
        <v>0</v>
      </c>
      <c r="AL139" s="106">
        <v>0</v>
      </c>
      <c r="AM139" s="105">
        <f t="shared" si="91"/>
        <v>12.711864406779661</v>
      </c>
      <c r="AN139" s="105">
        <v>15</v>
      </c>
      <c r="AO139" s="105">
        <f t="shared" si="92"/>
        <v>0</v>
      </c>
      <c r="AP139" s="105">
        <f t="shared" si="114"/>
        <v>34.372881355932208</v>
      </c>
      <c r="AQ139" s="105">
        <f t="shared" si="115"/>
        <v>40.56</v>
      </c>
      <c r="AR139" s="106">
        <v>0</v>
      </c>
      <c r="AS139" s="105" t="s">
        <v>312</v>
      </c>
      <c r="AT139" s="107">
        <v>0</v>
      </c>
      <c r="AU139" s="107">
        <f t="shared" ref="AU139:AU163" si="163">AV139/1.18</f>
        <v>5.0847457627118651</v>
      </c>
      <c r="AV139" s="107">
        <v>6</v>
      </c>
      <c r="AW139" s="107">
        <f t="shared" si="94"/>
        <v>0</v>
      </c>
      <c r="AX139" s="107">
        <f t="shared" si="93"/>
        <v>0</v>
      </c>
      <c r="AY139" s="108">
        <f t="shared" si="95"/>
        <v>34.372881355932208</v>
      </c>
      <c r="AZ139" s="109">
        <f t="shared" si="95"/>
        <v>40.56</v>
      </c>
      <c r="BA139" s="9"/>
      <c r="BB139" s="9"/>
      <c r="BC139" s="9"/>
      <c r="BD139" s="9"/>
      <c r="BE139" s="45"/>
      <c r="BF139" s="45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</row>
    <row r="140" spans="1:93" s="4" customFormat="1" ht="183" outlineLevel="1" x14ac:dyDescent="0.25">
      <c r="A140" s="100">
        <f t="shared" si="157"/>
        <v>110</v>
      </c>
      <c r="B140" s="101" t="s">
        <v>265</v>
      </c>
      <c r="C140" s="102" t="s">
        <v>146</v>
      </c>
      <c r="D140" s="103" t="s">
        <v>19</v>
      </c>
      <c r="E140" s="104">
        <f t="shared" si="119"/>
        <v>5.2</v>
      </c>
      <c r="F140" s="105">
        <v>0</v>
      </c>
      <c r="G140" s="105">
        <f t="shared" si="159"/>
        <v>16.949152542372882</v>
      </c>
      <c r="H140" s="105">
        <v>20</v>
      </c>
      <c r="I140" s="105">
        <f t="shared" si="78"/>
        <v>0</v>
      </c>
      <c r="J140" s="104">
        <v>0</v>
      </c>
      <c r="K140" s="105">
        <f t="shared" si="156"/>
        <v>12.711864406779661</v>
      </c>
      <c r="L140" s="105">
        <v>15</v>
      </c>
      <c r="M140" s="105">
        <f t="shared" si="79"/>
        <v>0</v>
      </c>
      <c r="N140" s="106">
        <v>5.2</v>
      </c>
      <c r="O140" s="105">
        <f t="shared" si="80"/>
        <v>6.6101694915254239</v>
      </c>
      <c r="P140" s="105">
        <v>7.8</v>
      </c>
      <c r="Q140" s="105">
        <f t="shared" si="81"/>
        <v>40.56</v>
      </c>
      <c r="R140" s="104">
        <v>0</v>
      </c>
      <c r="S140" s="105">
        <f t="shared" si="82"/>
        <v>13.220338983050848</v>
      </c>
      <c r="T140" s="105">
        <v>15.6</v>
      </c>
      <c r="U140" s="105">
        <f t="shared" si="83"/>
        <v>0</v>
      </c>
      <c r="V140" s="105">
        <v>0</v>
      </c>
      <c r="W140" s="105">
        <f t="shared" si="158"/>
        <v>5.9322033898305087</v>
      </c>
      <c r="X140" s="105">
        <v>7</v>
      </c>
      <c r="Y140" s="105">
        <f t="shared" si="84"/>
        <v>0</v>
      </c>
      <c r="Z140" s="104">
        <v>0</v>
      </c>
      <c r="AA140" s="105">
        <f t="shared" si="160"/>
        <v>5.5084745762711869</v>
      </c>
      <c r="AB140" s="105">
        <v>6.5</v>
      </c>
      <c r="AC140" s="105">
        <f t="shared" si="86"/>
        <v>0</v>
      </c>
      <c r="AD140" s="105">
        <v>0</v>
      </c>
      <c r="AE140" s="105">
        <f t="shared" si="161"/>
        <v>4.2372881355932206</v>
      </c>
      <c r="AF140" s="105">
        <v>5</v>
      </c>
      <c r="AG140" s="105">
        <f t="shared" si="88"/>
        <v>0</v>
      </c>
      <c r="AH140" s="106">
        <v>0</v>
      </c>
      <c r="AI140" s="105">
        <f t="shared" si="162"/>
        <v>9.3220338983050848</v>
      </c>
      <c r="AJ140" s="105">
        <v>11</v>
      </c>
      <c r="AK140" s="105">
        <f t="shared" si="90"/>
        <v>0</v>
      </c>
      <c r="AL140" s="106">
        <v>0</v>
      </c>
      <c r="AM140" s="105">
        <f t="shared" si="91"/>
        <v>12.711864406779661</v>
      </c>
      <c r="AN140" s="105">
        <v>15</v>
      </c>
      <c r="AO140" s="105">
        <f t="shared" si="92"/>
        <v>0</v>
      </c>
      <c r="AP140" s="105">
        <f t="shared" si="114"/>
        <v>34.372881355932208</v>
      </c>
      <c r="AQ140" s="105">
        <f t="shared" si="115"/>
        <v>40.56</v>
      </c>
      <c r="AR140" s="106">
        <v>0</v>
      </c>
      <c r="AS140" s="105" t="s">
        <v>312</v>
      </c>
      <c r="AT140" s="107">
        <v>0</v>
      </c>
      <c r="AU140" s="107">
        <f t="shared" si="163"/>
        <v>5.0847457627118651</v>
      </c>
      <c r="AV140" s="107">
        <v>6</v>
      </c>
      <c r="AW140" s="107">
        <f t="shared" si="94"/>
        <v>0</v>
      </c>
      <c r="AX140" s="107">
        <f t="shared" si="93"/>
        <v>0</v>
      </c>
      <c r="AY140" s="108">
        <f t="shared" si="95"/>
        <v>34.372881355932208</v>
      </c>
      <c r="AZ140" s="109">
        <f t="shared" si="95"/>
        <v>40.56</v>
      </c>
      <c r="BA140" s="9"/>
      <c r="BB140" s="9"/>
      <c r="BC140" s="9"/>
      <c r="BD140" s="9"/>
      <c r="BE140" s="45"/>
      <c r="BF140" s="45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</row>
    <row r="141" spans="1:93" s="4" customFormat="1" ht="183" outlineLevel="1" x14ac:dyDescent="0.25">
      <c r="A141" s="100">
        <f t="shared" si="157"/>
        <v>111</v>
      </c>
      <c r="B141" s="101" t="s">
        <v>265</v>
      </c>
      <c r="C141" s="102" t="s">
        <v>147</v>
      </c>
      <c r="D141" s="103" t="s">
        <v>19</v>
      </c>
      <c r="E141" s="104">
        <f t="shared" si="119"/>
        <v>5.2</v>
      </c>
      <c r="F141" s="105">
        <v>0</v>
      </c>
      <c r="G141" s="105">
        <f t="shared" si="159"/>
        <v>16.949152542372882</v>
      </c>
      <c r="H141" s="105">
        <v>20</v>
      </c>
      <c r="I141" s="105">
        <f t="shared" si="78"/>
        <v>0</v>
      </c>
      <c r="J141" s="104">
        <v>0</v>
      </c>
      <c r="K141" s="105">
        <f t="shared" si="156"/>
        <v>12.711864406779661</v>
      </c>
      <c r="L141" s="105">
        <v>15</v>
      </c>
      <c r="M141" s="105">
        <f t="shared" si="79"/>
        <v>0</v>
      </c>
      <c r="N141" s="106">
        <v>5.2</v>
      </c>
      <c r="O141" s="105">
        <f t="shared" si="80"/>
        <v>6.6101694915254239</v>
      </c>
      <c r="P141" s="105">
        <v>7.8</v>
      </c>
      <c r="Q141" s="105">
        <f t="shared" si="81"/>
        <v>40.56</v>
      </c>
      <c r="R141" s="104">
        <v>0</v>
      </c>
      <c r="S141" s="105">
        <f t="shared" si="82"/>
        <v>13.220338983050848</v>
      </c>
      <c r="T141" s="105">
        <v>15.6</v>
      </c>
      <c r="U141" s="105">
        <f t="shared" si="83"/>
        <v>0</v>
      </c>
      <c r="V141" s="105">
        <v>0</v>
      </c>
      <c r="W141" s="105">
        <v>4.2</v>
      </c>
      <c r="X141" s="105">
        <v>7</v>
      </c>
      <c r="Y141" s="105">
        <f t="shared" si="84"/>
        <v>0</v>
      </c>
      <c r="Z141" s="104">
        <v>0</v>
      </c>
      <c r="AA141" s="105">
        <f t="shared" si="160"/>
        <v>5.5084745762711869</v>
      </c>
      <c r="AB141" s="105">
        <v>6.5</v>
      </c>
      <c r="AC141" s="105">
        <f t="shared" si="86"/>
        <v>0</v>
      </c>
      <c r="AD141" s="105">
        <v>0</v>
      </c>
      <c r="AE141" s="105">
        <f t="shared" si="161"/>
        <v>4.2372881355932206</v>
      </c>
      <c r="AF141" s="105">
        <v>5</v>
      </c>
      <c r="AG141" s="105">
        <f t="shared" si="88"/>
        <v>0</v>
      </c>
      <c r="AH141" s="106">
        <v>0</v>
      </c>
      <c r="AI141" s="105">
        <f t="shared" si="162"/>
        <v>9.3220338983050848</v>
      </c>
      <c r="AJ141" s="105">
        <v>11</v>
      </c>
      <c r="AK141" s="105">
        <f t="shared" si="90"/>
        <v>0</v>
      </c>
      <c r="AL141" s="106">
        <v>0</v>
      </c>
      <c r="AM141" s="105">
        <f t="shared" si="91"/>
        <v>12.711864406779661</v>
      </c>
      <c r="AN141" s="105">
        <v>15</v>
      </c>
      <c r="AO141" s="105">
        <f t="shared" si="92"/>
        <v>0</v>
      </c>
      <c r="AP141" s="105">
        <f t="shared" si="114"/>
        <v>34.372881355932208</v>
      </c>
      <c r="AQ141" s="105">
        <f t="shared" si="115"/>
        <v>40.56</v>
      </c>
      <c r="AR141" s="106">
        <v>0</v>
      </c>
      <c r="AS141" s="105" t="s">
        <v>312</v>
      </c>
      <c r="AT141" s="107">
        <v>0</v>
      </c>
      <c r="AU141" s="107">
        <f t="shared" si="163"/>
        <v>5.0847457627118651</v>
      </c>
      <c r="AV141" s="107">
        <v>6</v>
      </c>
      <c r="AW141" s="107">
        <f t="shared" si="94"/>
        <v>0</v>
      </c>
      <c r="AX141" s="107">
        <f t="shared" si="93"/>
        <v>0</v>
      </c>
      <c r="AY141" s="108">
        <f t="shared" ref="AY141:AZ204" si="164">AP141+AW141</f>
        <v>34.372881355932208</v>
      </c>
      <c r="AZ141" s="109">
        <f t="shared" si="164"/>
        <v>40.56</v>
      </c>
      <c r="BA141" s="9"/>
      <c r="BB141" s="9"/>
      <c r="BC141" s="9"/>
      <c r="BD141" s="9"/>
      <c r="BE141" s="45"/>
      <c r="BF141" s="45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</row>
    <row r="142" spans="1:93" s="4" customFormat="1" ht="183" outlineLevel="1" x14ac:dyDescent="0.25">
      <c r="A142" s="100">
        <f t="shared" si="157"/>
        <v>112</v>
      </c>
      <c r="B142" s="101" t="s">
        <v>265</v>
      </c>
      <c r="C142" s="102" t="s">
        <v>148</v>
      </c>
      <c r="D142" s="103" t="s">
        <v>19</v>
      </c>
      <c r="E142" s="104">
        <f t="shared" si="119"/>
        <v>5.2</v>
      </c>
      <c r="F142" s="105">
        <v>0</v>
      </c>
      <c r="G142" s="105">
        <f t="shared" si="159"/>
        <v>16.949152542372882</v>
      </c>
      <c r="H142" s="105">
        <v>20</v>
      </c>
      <c r="I142" s="105">
        <f t="shared" si="78"/>
        <v>0</v>
      </c>
      <c r="J142" s="104">
        <v>0</v>
      </c>
      <c r="K142" s="105">
        <f t="shared" si="156"/>
        <v>12.711864406779661</v>
      </c>
      <c r="L142" s="105">
        <v>15</v>
      </c>
      <c r="M142" s="105">
        <f t="shared" si="79"/>
        <v>0</v>
      </c>
      <c r="N142" s="106">
        <v>5.2</v>
      </c>
      <c r="O142" s="105">
        <f t="shared" si="80"/>
        <v>6.6101694915254239</v>
      </c>
      <c r="P142" s="105">
        <v>7.8</v>
      </c>
      <c r="Q142" s="105">
        <f t="shared" si="81"/>
        <v>40.56</v>
      </c>
      <c r="R142" s="104">
        <v>0</v>
      </c>
      <c r="S142" s="105">
        <f t="shared" si="82"/>
        <v>13.220338983050848</v>
      </c>
      <c r="T142" s="105">
        <v>15.6</v>
      </c>
      <c r="U142" s="105">
        <f t="shared" si="83"/>
        <v>0</v>
      </c>
      <c r="V142" s="105">
        <v>0</v>
      </c>
      <c r="W142" s="105">
        <f t="shared" ref="W142:W144" si="165">X142/1.18</f>
        <v>5.9322033898305087</v>
      </c>
      <c r="X142" s="105">
        <v>7</v>
      </c>
      <c r="Y142" s="105">
        <f t="shared" si="84"/>
        <v>0</v>
      </c>
      <c r="Z142" s="104">
        <v>0</v>
      </c>
      <c r="AA142" s="105">
        <f t="shared" si="160"/>
        <v>5.5084745762711869</v>
      </c>
      <c r="AB142" s="105">
        <v>6.5</v>
      </c>
      <c r="AC142" s="105">
        <f t="shared" si="86"/>
        <v>0</v>
      </c>
      <c r="AD142" s="105">
        <v>0</v>
      </c>
      <c r="AE142" s="105">
        <f t="shared" si="161"/>
        <v>4.2372881355932206</v>
      </c>
      <c r="AF142" s="105">
        <v>5</v>
      </c>
      <c r="AG142" s="105">
        <f t="shared" si="88"/>
        <v>0</v>
      </c>
      <c r="AH142" s="106">
        <v>0</v>
      </c>
      <c r="AI142" s="105">
        <f t="shared" si="162"/>
        <v>9.3220338983050848</v>
      </c>
      <c r="AJ142" s="105">
        <v>11</v>
      </c>
      <c r="AK142" s="105">
        <f t="shared" si="90"/>
        <v>0</v>
      </c>
      <c r="AL142" s="106">
        <v>0</v>
      </c>
      <c r="AM142" s="105">
        <f t="shared" si="91"/>
        <v>12.711864406779661</v>
      </c>
      <c r="AN142" s="105">
        <v>15</v>
      </c>
      <c r="AO142" s="105">
        <f t="shared" si="92"/>
        <v>0</v>
      </c>
      <c r="AP142" s="105">
        <f t="shared" ref="AP142:AP205" si="166">AQ142/1.18</f>
        <v>34.372881355932208</v>
      </c>
      <c r="AQ142" s="105">
        <f t="shared" ref="AQ142:AQ205" si="167">I142+M142+Q142+U142+Y142+AC142+AG142+AK142+AO142</f>
        <v>40.56</v>
      </c>
      <c r="AR142" s="106">
        <v>0</v>
      </c>
      <c r="AS142" s="105" t="s">
        <v>312</v>
      </c>
      <c r="AT142" s="107">
        <v>0</v>
      </c>
      <c r="AU142" s="107">
        <f t="shared" si="163"/>
        <v>5.0847457627118651</v>
      </c>
      <c r="AV142" s="107">
        <v>6</v>
      </c>
      <c r="AW142" s="107">
        <f t="shared" si="94"/>
        <v>0</v>
      </c>
      <c r="AX142" s="107">
        <f t="shared" si="93"/>
        <v>0</v>
      </c>
      <c r="AY142" s="108">
        <f t="shared" si="164"/>
        <v>34.372881355932208</v>
      </c>
      <c r="AZ142" s="109">
        <f t="shared" si="164"/>
        <v>40.56</v>
      </c>
      <c r="BA142" s="9"/>
      <c r="BB142" s="9"/>
      <c r="BC142" s="9"/>
      <c r="BD142" s="9"/>
      <c r="BE142" s="45"/>
      <c r="BF142" s="45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</row>
    <row r="143" spans="1:93" s="4" customFormat="1" ht="183" outlineLevel="1" x14ac:dyDescent="0.25">
      <c r="A143" s="100">
        <f t="shared" si="157"/>
        <v>113</v>
      </c>
      <c r="B143" s="101" t="s">
        <v>265</v>
      </c>
      <c r="C143" s="102" t="s">
        <v>149</v>
      </c>
      <c r="D143" s="103" t="s">
        <v>19</v>
      </c>
      <c r="E143" s="104">
        <f t="shared" ref="E143:E206" si="168">F143+J143+N143+R143+V143+Z143+AD143+AH143+AL143</f>
        <v>5.2</v>
      </c>
      <c r="F143" s="105">
        <v>0</v>
      </c>
      <c r="G143" s="105">
        <f t="shared" si="159"/>
        <v>16.949152542372882</v>
      </c>
      <c r="H143" s="105">
        <v>20</v>
      </c>
      <c r="I143" s="105">
        <f t="shared" si="78"/>
        <v>0</v>
      </c>
      <c r="J143" s="104">
        <v>0</v>
      </c>
      <c r="K143" s="105">
        <f t="shared" si="156"/>
        <v>12.711864406779661</v>
      </c>
      <c r="L143" s="105">
        <v>15</v>
      </c>
      <c r="M143" s="105">
        <f t="shared" si="79"/>
        <v>0</v>
      </c>
      <c r="N143" s="106">
        <v>5.2</v>
      </c>
      <c r="O143" s="105">
        <f t="shared" si="80"/>
        <v>6.6101694915254239</v>
      </c>
      <c r="P143" s="105">
        <v>7.8</v>
      </c>
      <c r="Q143" s="105">
        <f t="shared" si="81"/>
        <v>40.56</v>
      </c>
      <c r="R143" s="104">
        <v>0</v>
      </c>
      <c r="S143" s="105">
        <f t="shared" si="82"/>
        <v>13.220338983050848</v>
      </c>
      <c r="T143" s="105">
        <v>15.6</v>
      </c>
      <c r="U143" s="105">
        <f t="shared" si="83"/>
        <v>0</v>
      </c>
      <c r="V143" s="105">
        <v>0</v>
      </c>
      <c r="W143" s="105">
        <f t="shared" si="165"/>
        <v>5.9322033898305087</v>
      </c>
      <c r="X143" s="105">
        <v>7</v>
      </c>
      <c r="Y143" s="105">
        <f t="shared" si="84"/>
        <v>0</v>
      </c>
      <c r="Z143" s="104">
        <v>0</v>
      </c>
      <c r="AA143" s="105">
        <f t="shared" si="160"/>
        <v>5.5084745762711869</v>
      </c>
      <c r="AB143" s="105">
        <v>6.5</v>
      </c>
      <c r="AC143" s="105">
        <f t="shared" si="86"/>
        <v>0</v>
      </c>
      <c r="AD143" s="105">
        <v>0</v>
      </c>
      <c r="AE143" s="105">
        <f t="shared" si="161"/>
        <v>4.2372881355932206</v>
      </c>
      <c r="AF143" s="105">
        <v>5</v>
      </c>
      <c r="AG143" s="105">
        <f t="shared" si="88"/>
        <v>0</v>
      </c>
      <c r="AH143" s="106">
        <v>0</v>
      </c>
      <c r="AI143" s="105">
        <f t="shared" si="162"/>
        <v>9.3220338983050848</v>
      </c>
      <c r="AJ143" s="105">
        <v>11</v>
      </c>
      <c r="AK143" s="105">
        <f t="shared" si="90"/>
        <v>0</v>
      </c>
      <c r="AL143" s="106">
        <v>0</v>
      </c>
      <c r="AM143" s="105">
        <f t="shared" si="91"/>
        <v>12.711864406779661</v>
      </c>
      <c r="AN143" s="105">
        <v>15</v>
      </c>
      <c r="AO143" s="105">
        <f t="shared" si="92"/>
        <v>0</v>
      </c>
      <c r="AP143" s="105">
        <f t="shared" si="166"/>
        <v>34.372881355932208</v>
      </c>
      <c r="AQ143" s="105">
        <f t="shared" si="167"/>
        <v>40.56</v>
      </c>
      <c r="AR143" s="106">
        <v>0</v>
      </c>
      <c r="AS143" s="105" t="s">
        <v>312</v>
      </c>
      <c r="AT143" s="107">
        <v>0</v>
      </c>
      <c r="AU143" s="107">
        <f t="shared" si="163"/>
        <v>5.0847457627118651</v>
      </c>
      <c r="AV143" s="107">
        <v>6</v>
      </c>
      <c r="AW143" s="107">
        <f t="shared" si="94"/>
        <v>0</v>
      </c>
      <c r="AX143" s="107">
        <f t="shared" si="93"/>
        <v>0</v>
      </c>
      <c r="AY143" s="108">
        <f t="shared" si="164"/>
        <v>34.372881355932208</v>
      </c>
      <c r="AZ143" s="109">
        <f t="shared" si="164"/>
        <v>40.56</v>
      </c>
      <c r="BA143" s="9"/>
      <c r="BB143" s="9"/>
      <c r="BC143" s="9"/>
      <c r="BD143" s="9"/>
      <c r="BE143" s="45"/>
      <c r="BF143" s="45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</row>
    <row r="144" spans="1:93" s="4" customFormat="1" ht="183" outlineLevel="1" x14ac:dyDescent="0.25">
      <c r="A144" s="100">
        <f t="shared" si="157"/>
        <v>114</v>
      </c>
      <c r="B144" s="101" t="s">
        <v>265</v>
      </c>
      <c r="C144" s="102" t="s">
        <v>150</v>
      </c>
      <c r="D144" s="103" t="s">
        <v>19</v>
      </c>
      <c r="E144" s="104">
        <f t="shared" si="168"/>
        <v>5.2</v>
      </c>
      <c r="F144" s="105">
        <v>0</v>
      </c>
      <c r="G144" s="105">
        <f t="shared" si="159"/>
        <v>16.949152542372882</v>
      </c>
      <c r="H144" s="105">
        <v>20</v>
      </c>
      <c r="I144" s="105">
        <f t="shared" ref="I144:I214" si="169">H144*F144</f>
        <v>0</v>
      </c>
      <c r="J144" s="104">
        <v>0</v>
      </c>
      <c r="K144" s="105">
        <f t="shared" si="156"/>
        <v>12.711864406779661</v>
      </c>
      <c r="L144" s="105">
        <v>15</v>
      </c>
      <c r="M144" s="105">
        <f t="shared" ref="M144:M214" si="170">L144*J144</f>
        <v>0</v>
      </c>
      <c r="N144" s="106">
        <v>5.2</v>
      </c>
      <c r="O144" s="105">
        <f t="shared" ref="O144:O214" si="171">P144/1.18</f>
        <v>6.6101694915254239</v>
      </c>
      <c r="P144" s="105">
        <v>7.8</v>
      </c>
      <c r="Q144" s="105">
        <f t="shared" ref="Q144:Q214" si="172">P144*N144</f>
        <v>40.56</v>
      </c>
      <c r="R144" s="104">
        <v>0</v>
      </c>
      <c r="S144" s="105">
        <f t="shared" ref="S144:S214" si="173">T144/1.18</f>
        <v>13.220338983050848</v>
      </c>
      <c r="T144" s="105">
        <v>15.6</v>
      </c>
      <c r="U144" s="105">
        <f t="shared" ref="U144:U214" si="174">T144*R144</f>
        <v>0</v>
      </c>
      <c r="V144" s="105">
        <v>0</v>
      </c>
      <c r="W144" s="105">
        <f t="shared" si="165"/>
        <v>5.9322033898305087</v>
      </c>
      <c r="X144" s="105">
        <v>7</v>
      </c>
      <c r="Y144" s="105">
        <f t="shared" ref="Y144:Y214" si="175">X144*V144</f>
        <v>0</v>
      </c>
      <c r="Z144" s="104">
        <v>0</v>
      </c>
      <c r="AA144" s="105">
        <f t="shared" si="160"/>
        <v>5.5084745762711869</v>
      </c>
      <c r="AB144" s="105">
        <v>6.5</v>
      </c>
      <c r="AC144" s="105">
        <f t="shared" ref="AC144:AC214" si="176">AB144*Z144</f>
        <v>0</v>
      </c>
      <c r="AD144" s="105">
        <v>0</v>
      </c>
      <c r="AE144" s="105">
        <f t="shared" si="161"/>
        <v>4.2372881355932206</v>
      </c>
      <c r="AF144" s="105">
        <v>5</v>
      </c>
      <c r="AG144" s="105">
        <f t="shared" ref="AG144:AG214" si="177">AF144*AD144</f>
        <v>0</v>
      </c>
      <c r="AH144" s="106">
        <v>0</v>
      </c>
      <c r="AI144" s="105">
        <f t="shared" si="162"/>
        <v>9.3220338983050848</v>
      </c>
      <c r="AJ144" s="105">
        <v>11</v>
      </c>
      <c r="AK144" s="105">
        <f t="shared" ref="AK144:AK214" si="178">AJ144*AH144</f>
        <v>0</v>
      </c>
      <c r="AL144" s="106">
        <v>0</v>
      </c>
      <c r="AM144" s="105">
        <f t="shared" ref="AM144:AM214" si="179">AN144/1.18</f>
        <v>12.711864406779661</v>
      </c>
      <c r="AN144" s="105">
        <v>15</v>
      </c>
      <c r="AO144" s="105">
        <f t="shared" ref="AO144:AO214" si="180">AN144*AL144</f>
        <v>0</v>
      </c>
      <c r="AP144" s="105">
        <f t="shared" si="166"/>
        <v>34.372881355932208</v>
      </c>
      <c r="AQ144" s="105">
        <f t="shared" si="167"/>
        <v>40.56</v>
      </c>
      <c r="AR144" s="106">
        <v>0</v>
      </c>
      <c r="AS144" s="105" t="s">
        <v>312</v>
      </c>
      <c r="AT144" s="107">
        <v>0</v>
      </c>
      <c r="AU144" s="107">
        <f t="shared" si="163"/>
        <v>5.0847457627118651</v>
      </c>
      <c r="AV144" s="107">
        <v>6</v>
      </c>
      <c r="AW144" s="107">
        <f t="shared" si="94"/>
        <v>0</v>
      </c>
      <c r="AX144" s="107">
        <f t="shared" ref="AX144:AX214" si="181">AV144*AR144</f>
        <v>0</v>
      </c>
      <c r="AY144" s="108">
        <f t="shared" si="164"/>
        <v>34.372881355932208</v>
      </c>
      <c r="AZ144" s="109">
        <f t="shared" si="164"/>
        <v>40.56</v>
      </c>
      <c r="BA144" s="9"/>
      <c r="BB144" s="9"/>
      <c r="BC144" s="9"/>
      <c r="BD144" s="9"/>
      <c r="BE144" s="45"/>
      <c r="BF144" s="45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</row>
    <row r="145" spans="1:93" s="4" customFormat="1" ht="183" outlineLevel="1" x14ac:dyDescent="0.25">
      <c r="A145" s="100">
        <f t="shared" si="157"/>
        <v>115</v>
      </c>
      <c r="B145" s="101" t="s">
        <v>265</v>
      </c>
      <c r="C145" s="102" t="s">
        <v>151</v>
      </c>
      <c r="D145" s="103" t="s">
        <v>19</v>
      </c>
      <c r="E145" s="104">
        <f t="shared" si="168"/>
        <v>5.2</v>
      </c>
      <c r="F145" s="105">
        <v>0</v>
      </c>
      <c r="G145" s="105">
        <f t="shared" si="159"/>
        <v>16.949152542372882</v>
      </c>
      <c r="H145" s="105">
        <v>20</v>
      </c>
      <c r="I145" s="105">
        <f t="shared" si="169"/>
        <v>0</v>
      </c>
      <c r="J145" s="104">
        <v>0</v>
      </c>
      <c r="K145" s="105">
        <f t="shared" si="156"/>
        <v>12.711864406779661</v>
      </c>
      <c r="L145" s="105">
        <v>15</v>
      </c>
      <c r="M145" s="105">
        <f t="shared" si="170"/>
        <v>0</v>
      </c>
      <c r="N145" s="106">
        <v>5.2</v>
      </c>
      <c r="O145" s="105">
        <f t="shared" si="171"/>
        <v>6.6101694915254239</v>
      </c>
      <c r="P145" s="105">
        <v>7.8</v>
      </c>
      <c r="Q145" s="105">
        <f t="shared" si="172"/>
        <v>40.56</v>
      </c>
      <c r="R145" s="104">
        <v>0</v>
      </c>
      <c r="S145" s="105">
        <f t="shared" si="173"/>
        <v>13.220338983050848</v>
      </c>
      <c r="T145" s="105">
        <v>15.6</v>
      </c>
      <c r="U145" s="105">
        <f t="shared" si="174"/>
        <v>0</v>
      </c>
      <c r="V145" s="105">
        <v>0</v>
      </c>
      <c r="W145" s="105">
        <v>4.2</v>
      </c>
      <c r="X145" s="105">
        <v>7</v>
      </c>
      <c r="Y145" s="105">
        <f t="shared" si="175"/>
        <v>0</v>
      </c>
      <c r="Z145" s="104">
        <v>0</v>
      </c>
      <c r="AA145" s="105">
        <f t="shared" si="160"/>
        <v>5.5084745762711869</v>
      </c>
      <c r="AB145" s="105">
        <v>6.5</v>
      </c>
      <c r="AC145" s="105">
        <f t="shared" si="176"/>
        <v>0</v>
      </c>
      <c r="AD145" s="105">
        <v>0</v>
      </c>
      <c r="AE145" s="105">
        <f t="shared" si="161"/>
        <v>4.2372881355932206</v>
      </c>
      <c r="AF145" s="105">
        <v>5</v>
      </c>
      <c r="AG145" s="105">
        <f t="shared" si="177"/>
        <v>0</v>
      </c>
      <c r="AH145" s="106">
        <v>0</v>
      </c>
      <c r="AI145" s="105">
        <f t="shared" si="162"/>
        <v>9.3220338983050848</v>
      </c>
      <c r="AJ145" s="105">
        <v>11</v>
      </c>
      <c r="AK145" s="105">
        <f t="shared" si="178"/>
        <v>0</v>
      </c>
      <c r="AL145" s="106">
        <v>0</v>
      </c>
      <c r="AM145" s="105">
        <f t="shared" si="179"/>
        <v>12.711864406779661</v>
      </c>
      <c r="AN145" s="105">
        <v>15</v>
      </c>
      <c r="AO145" s="105">
        <f t="shared" si="180"/>
        <v>0</v>
      </c>
      <c r="AP145" s="105">
        <f t="shared" si="166"/>
        <v>34.372881355932208</v>
      </c>
      <c r="AQ145" s="105">
        <f t="shared" si="167"/>
        <v>40.56</v>
      </c>
      <c r="AR145" s="106">
        <v>0</v>
      </c>
      <c r="AS145" s="105" t="s">
        <v>312</v>
      </c>
      <c r="AT145" s="107">
        <v>0</v>
      </c>
      <c r="AU145" s="107">
        <f t="shared" si="163"/>
        <v>5.0847457627118651</v>
      </c>
      <c r="AV145" s="107">
        <v>6</v>
      </c>
      <c r="AW145" s="107">
        <f t="shared" ref="AW145:AW214" si="182">AU145*AR145</f>
        <v>0</v>
      </c>
      <c r="AX145" s="107">
        <f t="shared" si="181"/>
        <v>0</v>
      </c>
      <c r="AY145" s="108">
        <f t="shared" si="164"/>
        <v>34.372881355932208</v>
      </c>
      <c r="AZ145" s="109">
        <f t="shared" si="164"/>
        <v>40.56</v>
      </c>
      <c r="BA145" s="9"/>
      <c r="BB145" s="9"/>
      <c r="BC145" s="9"/>
      <c r="BD145" s="9"/>
      <c r="BE145" s="45"/>
      <c r="BF145" s="45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</row>
    <row r="146" spans="1:93" s="4" customFormat="1" ht="183" outlineLevel="1" x14ac:dyDescent="0.25">
      <c r="A146" s="100">
        <f t="shared" si="157"/>
        <v>116</v>
      </c>
      <c r="B146" s="101" t="s">
        <v>265</v>
      </c>
      <c r="C146" s="102" t="s">
        <v>152</v>
      </c>
      <c r="D146" s="103" t="s">
        <v>19</v>
      </c>
      <c r="E146" s="104">
        <f t="shared" si="168"/>
        <v>5.2</v>
      </c>
      <c r="F146" s="105">
        <v>0</v>
      </c>
      <c r="G146" s="105">
        <f t="shared" si="159"/>
        <v>16.949152542372882</v>
      </c>
      <c r="H146" s="105">
        <v>20</v>
      </c>
      <c r="I146" s="105">
        <f t="shared" si="169"/>
        <v>0</v>
      </c>
      <c r="J146" s="104">
        <v>0</v>
      </c>
      <c r="K146" s="105">
        <f t="shared" si="156"/>
        <v>12.711864406779661</v>
      </c>
      <c r="L146" s="105">
        <v>15</v>
      </c>
      <c r="M146" s="105">
        <f t="shared" si="170"/>
        <v>0</v>
      </c>
      <c r="N146" s="106">
        <v>5.2</v>
      </c>
      <c r="O146" s="105">
        <f t="shared" si="171"/>
        <v>6.6101694915254239</v>
      </c>
      <c r="P146" s="105">
        <v>7.8</v>
      </c>
      <c r="Q146" s="105">
        <f t="shared" si="172"/>
        <v>40.56</v>
      </c>
      <c r="R146" s="104">
        <v>0</v>
      </c>
      <c r="S146" s="105">
        <f t="shared" si="173"/>
        <v>13.220338983050848</v>
      </c>
      <c r="T146" s="105">
        <v>15.6</v>
      </c>
      <c r="U146" s="105">
        <f t="shared" si="174"/>
        <v>0</v>
      </c>
      <c r="V146" s="105">
        <v>0</v>
      </c>
      <c r="W146" s="105">
        <f t="shared" ref="W146:W148" si="183">X146/1.18</f>
        <v>5.9322033898305087</v>
      </c>
      <c r="X146" s="105">
        <v>7</v>
      </c>
      <c r="Y146" s="105">
        <f t="shared" si="175"/>
        <v>0</v>
      </c>
      <c r="Z146" s="104">
        <v>0</v>
      </c>
      <c r="AA146" s="105">
        <f t="shared" si="160"/>
        <v>5.5084745762711869</v>
      </c>
      <c r="AB146" s="105">
        <v>6.5</v>
      </c>
      <c r="AC146" s="105">
        <f t="shared" si="176"/>
        <v>0</v>
      </c>
      <c r="AD146" s="105">
        <v>0</v>
      </c>
      <c r="AE146" s="105">
        <f t="shared" si="161"/>
        <v>4.2372881355932206</v>
      </c>
      <c r="AF146" s="105">
        <v>5</v>
      </c>
      <c r="AG146" s="105">
        <f t="shared" si="177"/>
        <v>0</v>
      </c>
      <c r="AH146" s="106">
        <v>0</v>
      </c>
      <c r="AI146" s="105">
        <f t="shared" si="162"/>
        <v>9.3220338983050848</v>
      </c>
      <c r="AJ146" s="105">
        <v>11</v>
      </c>
      <c r="AK146" s="105">
        <f t="shared" si="178"/>
        <v>0</v>
      </c>
      <c r="AL146" s="106">
        <v>0</v>
      </c>
      <c r="AM146" s="105">
        <f t="shared" si="179"/>
        <v>12.711864406779661</v>
      </c>
      <c r="AN146" s="105">
        <v>15</v>
      </c>
      <c r="AO146" s="105">
        <f t="shared" si="180"/>
        <v>0</v>
      </c>
      <c r="AP146" s="105">
        <f t="shared" si="166"/>
        <v>34.372881355932208</v>
      </c>
      <c r="AQ146" s="105">
        <f t="shared" si="167"/>
        <v>40.56</v>
      </c>
      <c r="AR146" s="106">
        <v>0</v>
      </c>
      <c r="AS146" s="105" t="s">
        <v>312</v>
      </c>
      <c r="AT146" s="107">
        <v>0</v>
      </c>
      <c r="AU146" s="107">
        <f t="shared" si="163"/>
        <v>5.0847457627118651</v>
      </c>
      <c r="AV146" s="107">
        <v>6</v>
      </c>
      <c r="AW146" s="107">
        <f t="shared" si="182"/>
        <v>0</v>
      </c>
      <c r="AX146" s="107">
        <f t="shared" si="181"/>
        <v>0</v>
      </c>
      <c r="AY146" s="108">
        <f t="shared" si="164"/>
        <v>34.372881355932208</v>
      </c>
      <c r="AZ146" s="109">
        <f t="shared" si="164"/>
        <v>40.56</v>
      </c>
      <c r="BA146" s="9"/>
      <c r="BB146" s="9"/>
      <c r="BC146" s="9"/>
      <c r="BD146" s="9"/>
      <c r="BE146" s="45"/>
      <c r="BF146" s="45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</row>
    <row r="147" spans="1:93" s="4" customFormat="1" ht="183" outlineLevel="1" x14ac:dyDescent="0.25">
      <c r="A147" s="100">
        <f t="shared" si="157"/>
        <v>117</v>
      </c>
      <c r="B147" s="101" t="s">
        <v>265</v>
      </c>
      <c r="C147" s="102" t="s">
        <v>153</v>
      </c>
      <c r="D147" s="103" t="s">
        <v>19</v>
      </c>
      <c r="E147" s="104">
        <f t="shared" si="168"/>
        <v>5.2</v>
      </c>
      <c r="F147" s="105">
        <v>0</v>
      </c>
      <c r="G147" s="105">
        <f t="shared" si="159"/>
        <v>16.949152542372882</v>
      </c>
      <c r="H147" s="105">
        <v>20</v>
      </c>
      <c r="I147" s="105">
        <f t="shared" si="169"/>
        <v>0</v>
      </c>
      <c r="J147" s="104">
        <v>0</v>
      </c>
      <c r="K147" s="105">
        <f t="shared" si="156"/>
        <v>12.711864406779661</v>
      </c>
      <c r="L147" s="105">
        <v>15</v>
      </c>
      <c r="M147" s="105">
        <f t="shared" si="170"/>
        <v>0</v>
      </c>
      <c r="N147" s="106">
        <v>5.2</v>
      </c>
      <c r="O147" s="105">
        <f t="shared" si="171"/>
        <v>6.6101694915254239</v>
      </c>
      <c r="P147" s="105">
        <v>7.8</v>
      </c>
      <c r="Q147" s="105">
        <f t="shared" si="172"/>
        <v>40.56</v>
      </c>
      <c r="R147" s="104">
        <v>0</v>
      </c>
      <c r="S147" s="105">
        <f t="shared" si="173"/>
        <v>13.220338983050848</v>
      </c>
      <c r="T147" s="105">
        <v>15.6</v>
      </c>
      <c r="U147" s="105">
        <f t="shared" si="174"/>
        <v>0</v>
      </c>
      <c r="V147" s="105">
        <v>0</v>
      </c>
      <c r="W147" s="105">
        <f t="shared" si="183"/>
        <v>5.9322033898305087</v>
      </c>
      <c r="X147" s="105">
        <v>7</v>
      </c>
      <c r="Y147" s="105">
        <f t="shared" si="175"/>
        <v>0</v>
      </c>
      <c r="Z147" s="104">
        <v>0</v>
      </c>
      <c r="AA147" s="105">
        <f t="shared" si="160"/>
        <v>5.5084745762711869</v>
      </c>
      <c r="AB147" s="105">
        <v>6.5</v>
      </c>
      <c r="AC147" s="105">
        <f t="shared" si="176"/>
        <v>0</v>
      </c>
      <c r="AD147" s="105">
        <v>0</v>
      </c>
      <c r="AE147" s="105">
        <f t="shared" si="161"/>
        <v>4.2372881355932206</v>
      </c>
      <c r="AF147" s="105">
        <v>5</v>
      </c>
      <c r="AG147" s="105">
        <f t="shared" si="177"/>
        <v>0</v>
      </c>
      <c r="AH147" s="106">
        <v>0</v>
      </c>
      <c r="AI147" s="105">
        <f t="shared" si="162"/>
        <v>9.3220338983050848</v>
      </c>
      <c r="AJ147" s="105">
        <v>11</v>
      </c>
      <c r="AK147" s="105">
        <f t="shared" si="178"/>
        <v>0</v>
      </c>
      <c r="AL147" s="106">
        <v>0</v>
      </c>
      <c r="AM147" s="105">
        <f t="shared" si="179"/>
        <v>12.711864406779661</v>
      </c>
      <c r="AN147" s="105">
        <v>15</v>
      </c>
      <c r="AO147" s="105">
        <f t="shared" si="180"/>
        <v>0</v>
      </c>
      <c r="AP147" s="105">
        <f t="shared" si="166"/>
        <v>34.372881355932208</v>
      </c>
      <c r="AQ147" s="105">
        <f t="shared" si="167"/>
        <v>40.56</v>
      </c>
      <c r="AR147" s="106">
        <v>0</v>
      </c>
      <c r="AS147" s="105" t="s">
        <v>312</v>
      </c>
      <c r="AT147" s="107">
        <v>0</v>
      </c>
      <c r="AU147" s="107">
        <f t="shared" si="163"/>
        <v>5.0847457627118651</v>
      </c>
      <c r="AV147" s="107">
        <v>6</v>
      </c>
      <c r="AW147" s="107">
        <f t="shared" si="182"/>
        <v>0</v>
      </c>
      <c r="AX147" s="107">
        <f t="shared" si="181"/>
        <v>0</v>
      </c>
      <c r="AY147" s="108">
        <f t="shared" si="164"/>
        <v>34.372881355932208</v>
      </c>
      <c r="AZ147" s="109">
        <f t="shared" si="164"/>
        <v>40.56</v>
      </c>
      <c r="BA147" s="9"/>
      <c r="BB147" s="9"/>
      <c r="BC147" s="9"/>
      <c r="BD147" s="9"/>
      <c r="BE147" s="45"/>
      <c r="BF147" s="45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</row>
    <row r="148" spans="1:93" s="4" customFormat="1" ht="183" outlineLevel="1" x14ac:dyDescent="0.25">
      <c r="A148" s="100">
        <f t="shared" si="157"/>
        <v>118</v>
      </c>
      <c r="B148" s="101" t="s">
        <v>265</v>
      </c>
      <c r="C148" s="102" t="s">
        <v>154</v>
      </c>
      <c r="D148" s="103" t="s">
        <v>19</v>
      </c>
      <c r="E148" s="104">
        <f t="shared" si="168"/>
        <v>5.2</v>
      </c>
      <c r="F148" s="105">
        <v>0</v>
      </c>
      <c r="G148" s="105">
        <f t="shared" si="159"/>
        <v>16.949152542372882</v>
      </c>
      <c r="H148" s="105">
        <v>20</v>
      </c>
      <c r="I148" s="105">
        <f t="shared" si="169"/>
        <v>0</v>
      </c>
      <c r="J148" s="104">
        <v>0</v>
      </c>
      <c r="K148" s="105">
        <f t="shared" si="156"/>
        <v>12.711864406779661</v>
      </c>
      <c r="L148" s="105">
        <v>15</v>
      </c>
      <c r="M148" s="105">
        <f t="shared" si="170"/>
        <v>0</v>
      </c>
      <c r="N148" s="106">
        <v>5.2</v>
      </c>
      <c r="O148" s="105">
        <f t="shared" si="171"/>
        <v>6.6101694915254239</v>
      </c>
      <c r="P148" s="105">
        <v>7.8</v>
      </c>
      <c r="Q148" s="105">
        <f t="shared" si="172"/>
        <v>40.56</v>
      </c>
      <c r="R148" s="104">
        <v>0</v>
      </c>
      <c r="S148" s="105">
        <f t="shared" si="173"/>
        <v>13.220338983050848</v>
      </c>
      <c r="T148" s="105">
        <v>15.6</v>
      </c>
      <c r="U148" s="105">
        <f t="shared" si="174"/>
        <v>0</v>
      </c>
      <c r="V148" s="105">
        <v>0</v>
      </c>
      <c r="W148" s="105">
        <f t="shared" si="183"/>
        <v>5.9322033898305087</v>
      </c>
      <c r="X148" s="105">
        <v>7</v>
      </c>
      <c r="Y148" s="105">
        <f t="shared" si="175"/>
        <v>0</v>
      </c>
      <c r="Z148" s="104">
        <v>0</v>
      </c>
      <c r="AA148" s="105">
        <f t="shared" si="160"/>
        <v>5.5084745762711869</v>
      </c>
      <c r="AB148" s="105">
        <v>6.5</v>
      </c>
      <c r="AC148" s="105">
        <f t="shared" si="176"/>
        <v>0</v>
      </c>
      <c r="AD148" s="105">
        <v>0</v>
      </c>
      <c r="AE148" s="105">
        <f t="shared" si="161"/>
        <v>4.2372881355932206</v>
      </c>
      <c r="AF148" s="105">
        <v>5</v>
      </c>
      <c r="AG148" s="105">
        <f t="shared" si="177"/>
        <v>0</v>
      </c>
      <c r="AH148" s="106">
        <v>0</v>
      </c>
      <c r="AI148" s="105">
        <f t="shared" si="162"/>
        <v>9.3220338983050848</v>
      </c>
      <c r="AJ148" s="105">
        <v>11</v>
      </c>
      <c r="AK148" s="105">
        <f t="shared" si="178"/>
        <v>0</v>
      </c>
      <c r="AL148" s="106">
        <v>0</v>
      </c>
      <c r="AM148" s="105">
        <f t="shared" si="179"/>
        <v>12.711864406779661</v>
      </c>
      <c r="AN148" s="105">
        <v>15</v>
      </c>
      <c r="AO148" s="105">
        <f t="shared" si="180"/>
        <v>0</v>
      </c>
      <c r="AP148" s="105">
        <f t="shared" si="166"/>
        <v>34.372881355932208</v>
      </c>
      <c r="AQ148" s="105">
        <f t="shared" si="167"/>
        <v>40.56</v>
      </c>
      <c r="AR148" s="106">
        <v>0</v>
      </c>
      <c r="AS148" s="105" t="s">
        <v>312</v>
      </c>
      <c r="AT148" s="107">
        <v>0</v>
      </c>
      <c r="AU148" s="107">
        <f t="shared" si="163"/>
        <v>5.0847457627118651</v>
      </c>
      <c r="AV148" s="107">
        <v>6</v>
      </c>
      <c r="AW148" s="107">
        <f t="shared" si="182"/>
        <v>0</v>
      </c>
      <c r="AX148" s="107">
        <f t="shared" si="181"/>
        <v>0</v>
      </c>
      <c r="AY148" s="108">
        <f t="shared" si="164"/>
        <v>34.372881355932208</v>
      </c>
      <c r="AZ148" s="109">
        <f t="shared" si="164"/>
        <v>40.56</v>
      </c>
      <c r="BA148" s="9"/>
      <c r="BB148" s="9"/>
      <c r="BC148" s="9"/>
      <c r="BD148" s="9"/>
      <c r="BE148" s="45"/>
      <c r="BF148" s="45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</row>
    <row r="149" spans="1:93" s="4" customFormat="1" ht="183" outlineLevel="1" x14ac:dyDescent="0.25">
      <c r="A149" s="100">
        <f t="shared" si="157"/>
        <v>119</v>
      </c>
      <c r="B149" s="101" t="s">
        <v>265</v>
      </c>
      <c r="C149" s="102" t="s">
        <v>155</v>
      </c>
      <c r="D149" s="103" t="s">
        <v>19</v>
      </c>
      <c r="E149" s="104">
        <f t="shared" si="168"/>
        <v>5.2</v>
      </c>
      <c r="F149" s="105">
        <v>0</v>
      </c>
      <c r="G149" s="105">
        <f t="shared" si="159"/>
        <v>16.949152542372882</v>
      </c>
      <c r="H149" s="105">
        <v>20</v>
      </c>
      <c r="I149" s="105">
        <f t="shared" si="169"/>
        <v>0</v>
      </c>
      <c r="J149" s="104">
        <v>0</v>
      </c>
      <c r="K149" s="105">
        <f t="shared" si="156"/>
        <v>12.711864406779661</v>
      </c>
      <c r="L149" s="105">
        <v>15</v>
      </c>
      <c r="M149" s="105">
        <f t="shared" si="170"/>
        <v>0</v>
      </c>
      <c r="N149" s="106">
        <v>5.2</v>
      </c>
      <c r="O149" s="105">
        <f t="shared" si="171"/>
        <v>6.6101694915254239</v>
      </c>
      <c r="P149" s="105">
        <v>7.8</v>
      </c>
      <c r="Q149" s="105">
        <f t="shared" si="172"/>
        <v>40.56</v>
      </c>
      <c r="R149" s="104">
        <v>0</v>
      </c>
      <c r="S149" s="105">
        <f t="shared" si="173"/>
        <v>13.220338983050848</v>
      </c>
      <c r="T149" s="105">
        <v>15.6</v>
      </c>
      <c r="U149" s="105">
        <f t="shared" si="174"/>
        <v>0</v>
      </c>
      <c r="V149" s="105">
        <v>0</v>
      </c>
      <c r="W149" s="105">
        <v>4.2</v>
      </c>
      <c r="X149" s="105">
        <v>7</v>
      </c>
      <c r="Y149" s="105">
        <f t="shared" si="175"/>
        <v>0</v>
      </c>
      <c r="Z149" s="104">
        <v>0</v>
      </c>
      <c r="AA149" s="105">
        <f t="shared" si="160"/>
        <v>5.5084745762711869</v>
      </c>
      <c r="AB149" s="105">
        <v>6.5</v>
      </c>
      <c r="AC149" s="105">
        <f t="shared" si="176"/>
        <v>0</v>
      </c>
      <c r="AD149" s="105">
        <v>0</v>
      </c>
      <c r="AE149" s="105">
        <f t="shared" si="161"/>
        <v>4.2372881355932206</v>
      </c>
      <c r="AF149" s="105">
        <v>5</v>
      </c>
      <c r="AG149" s="105">
        <f t="shared" si="177"/>
        <v>0</v>
      </c>
      <c r="AH149" s="106">
        <v>0</v>
      </c>
      <c r="AI149" s="105">
        <f t="shared" si="162"/>
        <v>9.3220338983050848</v>
      </c>
      <c r="AJ149" s="105">
        <v>11</v>
      </c>
      <c r="AK149" s="105">
        <f t="shared" si="178"/>
        <v>0</v>
      </c>
      <c r="AL149" s="106">
        <v>0</v>
      </c>
      <c r="AM149" s="105">
        <f t="shared" si="179"/>
        <v>12.711864406779661</v>
      </c>
      <c r="AN149" s="105">
        <v>15</v>
      </c>
      <c r="AO149" s="105">
        <f t="shared" si="180"/>
        <v>0</v>
      </c>
      <c r="AP149" s="105">
        <f t="shared" si="166"/>
        <v>34.372881355932208</v>
      </c>
      <c r="AQ149" s="105">
        <f t="shared" si="167"/>
        <v>40.56</v>
      </c>
      <c r="AR149" s="106">
        <v>0</v>
      </c>
      <c r="AS149" s="105" t="s">
        <v>312</v>
      </c>
      <c r="AT149" s="107">
        <v>0</v>
      </c>
      <c r="AU149" s="107">
        <f t="shared" si="163"/>
        <v>5.0847457627118651</v>
      </c>
      <c r="AV149" s="107">
        <v>6</v>
      </c>
      <c r="AW149" s="107">
        <f t="shared" si="182"/>
        <v>0</v>
      </c>
      <c r="AX149" s="107">
        <f t="shared" si="181"/>
        <v>0</v>
      </c>
      <c r="AY149" s="108">
        <f t="shared" si="164"/>
        <v>34.372881355932208</v>
      </c>
      <c r="AZ149" s="109">
        <f t="shared" si="164"/>
        <v>40.56</v>
      </c>
      <c r="BA149" s="9"/>
      <c r="BB149" s="9"/>
      <c r="BC149" s="9"/>
      <c r="BD149" s="9"/>
      <c r="BE149" s="45"/>
      <c r="BF149" s="45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</row>
    <row r="150" spans="1:93" s="4" customFormat="1" ht="183" outlineLevel="1" x14ac:dyDescent="0.25">
      <c r="A150" s="100">
        <f t="shared" si="157"/>
        <v>120</v>
      </c>
      <c r="B150" s="101" t="s">
        <v>265</v>
      </c>
      <c r="C150" s="102" t="s">
        <v>156</v>
      </c>
      <c r="D150" s="103" t="s">
        <v>19</v>
      </c>
      <c r="E150" s="104">
        <f t="shared" si="168"/>
        <v>5.2</v>
      </c>
      <c r="F150" s="105">
        <v>0</v>
      </c>
      <c r="G150" s="105">
        <f t="shared" si="159"/>
        <v>16.949152542372882</v>
      </c>
      <c r="H150" s="105">
        <v>20</v>
      </c>
      <c r="I150" s="105">
        <f t="shared" si="169"/>
        <v>0</v>
      </c>
      <c r="J150" s="104">
        <v>0</v>
      </c>
      <c r="K150" s="105">
        <f t="shared" si="156"/>
        <v>12.711864406779661</v>
      </c>
      <c r="L150" s="105">
        <v>15</v>
      </c>
      <c r="M150" s="105">
        <f t="shared" si="170"/>
        <v>0</v>
      </c>
      <c r="N150" s="106">
        <v>5.2</v>
      </c>
      <c r="O150" s="105">
        <f t="shared" si="171"/>
        <v>6.6101694915254239</v>
      </c>
      <c r="P150" s="105">
        <v>7.8</v>
      </c>
      <c r="Q150" s="105">
        <f t="shared" si="172"/>
        <v>40.56</v>
      </c>
      <c r="R150" s="104">
        <v>0</v>
      </c>
      <c r="S150" s="105">
        <f t="shared" si="173"/>
        <v>13.220338983050848</v>
      </c>
      <c r="T150" s="105">
        <v>15.6</v>
      </c>
      <c r="U150" s="105">
        <f t="shared" si="174"/>
        <v>0</v>
      </c>
      <c r="V150" s="105">
        <v>0</v>
      </c>
      <c r="W150" s="105">
        <f t="shared" ref="W150:W152" si="184">X150/1.18</f>
        <v>5.9322033898305087</v>
      </c>
      <c r="X150" s="105">
        <v>7</v>
      </c>
      <c r="Y150" s="105">
        <f t="shared" si="175"/>
        <v>0</v>
      </c>
      <c r="Z150" s="104">
        <v>0</v>
      </c>
      <c r="AA150" s="105">
        <f t="shared" si="160"/>
        <v>5.5084745762711869</v>
      </c>
      <c r="AB150" s="105">
        <v>6.5</v>
      </c>
      <c r="AC150" s="105">
        <f t="shared" si="176"/>
        <v>0</v>
      </c>
      <c r="AD150" s="105">
        <v>0</v>
      </c>
      <c r="AE150" s="105">
        <f t="shared" si="161"/>
        <v>4.2372881355932206</v>
      </c>
      <c r="AF150" s="105">
        <v>5</v>
      </c>
      <c r="AG150" s="105">
        <f t="shared" si="177"/>
        <v>0</v>
      </c>
      <c r="AH150" s="106">
        <v>0</v>
      </c>
      <c r="AI150" s="105">
        <f t="shared" si="162"/>
        <v>9.3220338983050848</v>
      </c>
      <c r="AJ150" s="105">
        <v>11</v>
      </c>
      <c r="AK150" s="105">
        <f t="shared" si="178"/>
        <v>0</v>
      </c>
      <c r="AL150" s="106">
        <v>0</v>
      </c>
      <c r="AM150" s="105">
        <f t="shared" si="179"/>
        <v>12.711864406779661</v>
      </c>
      <c r="AN150" s="105">
        <v>15</v>
      </c>
      <c r="AO150" s="105">
        <f t="shared" si="180"/>
        <v>0</v>
      </c>
      <c r="AP150" s="105">
        <f t="shared" si="166"/>
        <v>34.372881355932208</v>
      </c>
      <c r="AQ150" s="105">
        <f t="shared" si="167"/>
        <v>40.56</v>
      </c>
      <c r="AR150" s="106">
        <v>0</v>
      </c>
      <c r="AS150" s="105" t="s">
        <v>312</v>
      </c>
      <c r="AT150" s="107">
        <v>0</v>
      </c>
      <c r="AU150" s="107">
        <f t="shared" si="163"/>
        <v>5.0847457627118651</v>
      </c>
      <c r="AV150" s="107">
        <v>6</v>
      </c>
      <c r="AW150" s="107">
        <f t="shared" si="182"/>
        <v>0</v>
      </c>
      <c r="AX150" s="107">
        <f t="shared" si="181"/>
        <v>0</v>
      </c>
      <c r="AY150" s="108">
        <f t="shared" si="164"/>
        <v>34.372881355932208</v>
      </c>
      <c r="AZ150" s="109">
        <f t="shared" si="164"/>
        <v>40.56</v>
      </c>
      <c r="BA150" s="9"/>
      <c r="BB150" s="9"/>
      <c r="BC150" s="9"/>
      <c r="BD150" s="9"/>
      <c r="BE150" s="45"/>
      <c r="BF150" s="45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</row>
    <row r="151" spans="1:93" s="4" customFormat="1" ht="183" outlineLevel="1" x14ac:dyDescent="0.25">
      <c r="A151" s="100">
        <f t="shared" si="157"/>
        <v>121</v>
      </c>
      <c r="B151" s="101" t="s">
        <v>265</v>
      </c>
      <c r="C151" s="102" t="s">
        <v>157</v>
      </c>
      <c r="D151" s="103" t="s">
        <v>19</v>
      </c>
      <c r="E151" s="104">
        <f t="shared" si="168"/>
        <v>5.2</v>
      </c>
      <c r="F151" s="105">
        <v>0</v>
      </c>
      <c r="G151" s="105">
        <f t="shared" si="159"/>
        <v>16.949152542372882</v>
      </c>
      <c r="H151" s="105">
        <v>20</v>
      </c>
      <c r="I151" s="105">
        <f t="shared" si="169"/>
        <v>0</v>
      </c>
      <c r="J151" s="104">
        <v>0</v>
      </c>
      <c r="K151" s="105">
        <f t="shared" si="156"/>
        <v>12.711864406779661</v>
      </c>
      <c r="L151" s="105">
        <v>15</v>
      </c>
      <c r="M151" s="105">
        <f t="shared" si="170"/>
        <v>0</v>
      </c>
      <c r="N151" s="106">
        <v>5.2</v>
      </c>
      <c r="O151" s="105">
        <f t="shared" si="171"/>
        <v>6.6101694915254239</v>
      </c>
      <c r="P151" s="105">
        <v>7.8</v>
      </c>
      <c r="Q151" s="105">
        <f t="shared" si="172"/>
        <v>40.56</v>
      </c>
      <c r="R151" s="104">
        <v>0</v>
      </c>
      <c r="S151" s="105">
        <f t="shared" si="173"/>
        <v>13.220338983050848</v>
      </c>
      <c r="T151" s="105">
        <v>15.6</v>
      </c>
      <c r="U151" s="105">
        <f t="shared" si="174"/>
        <v>0</v>
      </c>
      <c r="V151" s="105">
        <v>0</v>
      </c>
      <c r="W151" s="105">
        <f t="shared" si="184"/>
        <v>5.9322033898305087</v>
      </c>
      <c r="X151" s="105">
        <v>7</v>
      </c>
      <c r="Y151" s="105">
        <f t="shared" si="175"/>
        <v>0</v>
      </c>
      <c r="Z151" s="104">
        <v>0</v>
      </c>
      <c r="AA151" s="105">
        <f t="shared" si="160"/>
        <v>5.5084745762711869</v>
      </c>
      <c r="AB151" s="105">
        <v>6.5</v>
      </c>
      <c r="AC151" s="105">
        <f t="shared" si="176"/>
        <v>0</v>
      </c>
      <c r="AD151" s="105">
        <v>0</v>
      </c>
      <c r="AE151" s="105">
        <f t="shared" si="161"/>
        <v>4.2372881355932206</v>
      </c>
      <c r="AF151" s="105">
        <v>5</v>
      </c>
      <c r="AG151" s="105">
        <f t="shared" si="177"/>
        <v>0</v>
      </c>
      <c r="AH151" s="106">
        <v>0</v>
      </c>
      <c r="AI151" s="105">
        <f t="shared" si="162"/>
        <v>9.3220338983050848</v>
      </c>
      <c r="AJ151" s="105">
        <v>11</v>
      </c>
      <c r="AK151" s="105">
        <f t="shared" si="178"/>
        <v>0</v>
      </c>
      <c r="AL151" s="106">
        <v>0</v>
      </c>
      <c r="AM151" s="105">
        <f t="shared" si="179"/>
        <v>12.711864406779661</v>
      </c>
      <c r="AN151" s="105">
        <v>15</v>
      </c>
      <c r="AO151" s="105">
        <f t="shared" si="180"/>
        <v>0</v>
      </c>
      <c r="AP151" s="105">
        <f t="shared" si="166"/>
        <v>34.372881355932208</v>
      </c>
      <c r="AQ151" s="105">
        <f t="shared" si="167"/>
        <v>40.56</v>
      </c>
      <c r="AR151" s="106">
        <v>0</v>
      </c>
      <c r="AS151" s="105" t="s">
        <v>312</v>
      </c>
      <c r="AT151" s="107">
        <v>0</v>
      </c>
      <c r="AU151" s="107">
        <f t="shared" si="163"/>
        <v>5.0847457627118651</v>
      </c>
      <c r="AV151" s="107">
        <v>6</v>
      </c>
      <c r="AW151" s="107">
        <f t="shared" si="182"/>
        <v>0</v>
      </c>
      <c r="AX151" s="107">
        <f t="shared" si="181"/>
        <v>0</v>
      </c>
      <c r="AY151" s="108">
        <f t="shared" si="164"/>
        <v>34.372881355932208</v>
      </c>
      <c r="AZ151" s="109">
        <f t="shared" si="164"/>
        <v>40.56</v>
      </c>
      <c r="BA151" s="9"/>
      <c r="BB151" s="9"/>
      <c r="BC151" s="9"/>
      <c r="BD151" s="9"/>
      <c r="BE151" s="45"/>
      <c r="BF151" s="45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</row>
    <row r="152" spans="1:93" s="4" customFormat="1" ht="183" outlineLevel="1" x14ac:dyDescent="0.25">
      <c r="A152" s="100">
        <f t="shared" si="157"/>
        <v>122</v>
      </c>
      <c r="B152" s="101" t="s">
        <v>265</v>
      </c>
      <c r="C152" s="102" t="s">
        <v>158</v>
      </c>
      <c r="D152" s="103" t="s">
        <v>19</v>
      </c>
      <c r="E152" s="104">
        <f t="shared" si="168"/>
        <v>5.2</v>
      </c>
      <c r="F152" s="105">
        <v>0</v>
      </c>
      <c r="G152" s="105">
        <f t="shared" si="159"/>
        <v>16.949152542372882</v>
      </c>
      <c r="H152" s="105">
        <v>20</v>
      </c>
      <c r="I152" s="105">
        <f t="shared" si="169"/>
        <v>0</v>
      </c>
      <c r="J152" s="104">
        <v>0</v>
      </c>
      <c r="K152" s="105">
        <f t="shared" si="156"/>
        <v>12.711864406779661</v>
      </c>
      <c r="L152" s="105">
        <v>15</v>
      </c>
      <c r="M152" s="105">
        <f t="shared" si="170"/>
        <v>0</v>
      </c>
      <c r="N152" s="106">
        <v>5.2</v>
      </c>
      <c r="O152" s="105">
        <f t="shared" si="171"/>
        <v>6.6101694915254239</v>
      </c>
      <c r="P152" s="105">
        <v>7.8</v>
      </c>
      <c r="Q152" s="105">
        <f t="shared" si="172"/>
        <v>40.56</v>
      </c>
      <c r="R152" s="104">
        <v>0</v>
      </c>
      <c r="S152" s="105">
        <f t="shared" si="173"/>
        <v>13.220338983050848</v>
      </c>
      <c r="T152" s="105">
        <v>15.6</v>
      </c>
      <c r="U152" s="105">
        <f t="shared" si="174"/>
        <v>0</v>
      </c>
      <c r="V152" s="105">
        <v>0</v>
      </c>
      <c r="W152" s="105">
        <f t="shared" si="184"/>
        <v>5.9322033898305087</v>
      </c>
      <c r="X152" s="105">
        <v>7</v>
      </c>
      <c r="Y152" s="105">
        <f t="shared" si="175"/>
        <v>0</v>
      </c>
      <c r="Z152" s="104">
        <v>0</v>
      </c>
      <c r="AA152" s="105">
        <f t="shared" si="160"/>
        <v>5.5084745762711869</v>
      </c>
      <c r="AB152" s="105">
        <v>6.5</v>
      </c>
      <c r="AC152" s="105">
        <f t="shared" si="176"/>
        <v>0</v>
      </c>
      <c r="AD152" s="105">
        <v>0</v>
      </c>
      <c r="AE152" s="105">
        <f t="shared" si="161"/>
        <v>4.2372881355932206</v>
      </c>
      <c r="AF152" s="105">
        <v>5</v>
      </c>
      <c r="AG152" s="105">
        <f t="shared" si="177"/>
        <v>0</v>
      </c>
      <c r="AH152" s="106">
        <v>0</v>
      </c>
      <c r="AI152" s="105">
        <f t="shared" si="162"/>
        <v>9.3220338983050848</v>
      </c>
      <c r="AJ152" s="105">
        <v>11</v>
      </c>
      <c r="AK152" s="105">
        <f t="shared" si="178"/>
        <v>0</v>
      </c>
      <c r="AL152" s="106">
        <v>0</v>
      </c>
      <c r="AM152" s="105">
        <f t="shared" si="179"/>
        <v>12.711864406779661</v>
      </c>
      <c r="AN152" s="105">
        <v>15</v>
      </c>
      <c r="AO152" s="105">
        <f t="shared" si="180"/>
        <v>0</v>
      </c>
      <c r="AP152" s="105">
        <f t="shared" si="166"/>
        <v>34.372881355932208</v>
      </c>
      <c r="AQ152" s="105">
        <f t="shared" si="167"/>
        <v>40.56</v>
      </c>
      <c r="AR152" s="106">
        <v>0</v>
      </c>
      <c r="AS152" s="105" t="s">
        <v>312</v>
      </c>
      <c r="AT152" s="107">
        <v>0</v>
      </c>
      <c r="AU152" s="107">
        <f t="shared" si="163"/>
        <v>5.0847457627118651</v>
      </c>
      <c r="AV152" s="107">
        <v>6</v>
      </c>
      <c r="AW152" s="107">
        <f t="shared" si="182"/>
        <v>0</v>
      </c>
      <c r="AX152" s="107">
        <f t="shared" si="181"/>
        <v>0</v>
      </c>
      <c r="AY152" s="108">
        <f t="shared" si="164"/>
        <v>34.372881355932208</v>
      </c>
      <c r="AZ152" s="109">
        <f t="shared" si="164"/>
        <v>40.56</v>
      </c>
      <c r="BA152" s="9"/>
      <c r="BB152" s="9"/>
      <c r="BC152" s="9"/>
      <c r="BD152" s="9"/>
      <c r="BE152" s="45"/>
      <c r="BF152" s="45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</row>
    <row r="153" spans="1:93" s="4" customFormat="1" ht="183" outlineLevel="1" x14ac:dyDescent="0.25">
      <c r="A153" s="100">
        <f t="shared" si="157"/>
        <v>123</v>
      </c>
      <c r="B153" s="101" t="s">
        <v>265</v>
      </c>
      <c r="C153" s="102" t="s">
        <v>159</v>
      </c>
      <c r="D153" s="103" t="s">
        <v>19</v>
      </c>
      <c r="E153" s="104">
        <f t="shared" si="168"/>
        <v>5.2</v>
      </c>
      <c r="F153" s="105">
        <v>0</v>
      </c>
      <c r="G153" s="105">
        <f t="shared" si="159"/>
        <v>16.949152542372882</v>
      </c>
      <c r="H153" s="105">
        <v>20</v>
      </c>
      <c r="I153" s="105">
        <f t="shared" si="169"/>
        <v>0</v>
      </c>
      <c r="J153" s="104">
        <v>0</v>
      </c>
      <c r="K153" s="105">
        <f t="shared" si="156"/>
        <v>12.711864406779661</v>
      </c>
      <c r="L153" s="105">
        <v>15</v>
      </c>
      <c r="M153" s="105">
        <f t="shared" si="170"/>
        <v>0</v>
      </c>
      <c r="N153" s="106">
        <v>5.2</v>
      </c>
      <c r="O153" s="105">
        <f t="shared" si="171"/>
        <v>6.6101694915254239</v>
      </c>
      <c r="P153" s="105">
        <v>7.8</v>
      </c>
      <c r="Q153" s="105">
        <f t="shared" si="172"/>
        <v>40.56</v>
      </c>
      <c r="R153" s="104">
        <v>0</v>
      </c>
      <c r="S153" s="105">
        <f t="shared" si="173"/>
        <v>13.220338983050848</v>
      </c>
      <c r="T153" s="105">
        <v>15.6</v>
      </c>
      <c r="U153" s="105">
        <f t="shared" si="174"/>
        <v>0</v>
      </c>
      <c r="V153" s="105">
        <v>0</v>
      </c>
      <c r="W153" s="105">
        <v>4.2</v>
      </c>
      <c r="X153" s="105">
        <v>7</v>
      </c>
      <c r="Y153" s="105">
        <f t="shared" si="175"/>
        <v>0</v>
      </c>
      <c r="Z153" s="104">
        <v>0</v>
      </c>
      <c r="AA153" s="105">
        <f t="shared" si="160"/>
        <v>5.5084745762711869</v>
      </c>
      <c r="AB153" s="105">
        <v>6.5</v>
      </c>
      <c r="AC153" s="105">
        <f t="shared" si="176"/>
        <v>0</v>
      </c>
      <c r="AD153" s="105">
        <v>0</v>
      </c>
      <c r="AE153" s="105">
        <f t="shared" si="161"/>
        <v>4.2372881355932206</v>
      </c>
      <c r="AF153" s="105">
        <v>5</v>
      </c>
      <c r="AG153" s="105">
        <f t="shared" si="177"/>
        <v>0</v>
      </c>
      <c r="AH153" s="106">
        <v>0</v>
      </c>
      <c r="AI153" s="105">
        <f t="shared" si="162"/>
        <v>9.3220338983050848</v>
      </c>
      <c r="AJ153" s="105">
        <v>11</v>
      </c>
      <c r="AK153" s="105">
        <f t="shared" si="178"/>
        <v>0</v>
      </c>
      <c r="AL153" s="106">
        <v>0</v>
      </c>
      <c r="AM153" s="105">
        <f t="shared" si="179"/>
        <v>12.711864406779661</v>
      </c>
      <c r="AN153" s="105">
        <v>15</v>
      </c>
      <c r="AO153" s="105">
        <f t="shared" si="180"/>
        <v>0</v>
      </c>
      <c r="AP153" s="105">
        <f t="shared" si="166"/>
        <v>34.372881355932208</v>
      </c>
      <c r="AQ153" s="105">
        <f t="shared" si="167"/>
        <v>40.56</v>
      </c>
      <c r="AR153" s="106">
        <v>0</v>
      </c>
      <c r="AS153" s="105" t="s">
        <v>312</v>
      </c>
      <c r="AT153" s="107">
        <v>0</v>
      </c>
      <c r="AU153" s="107">
        <f t="shared" si="163"/>
        <v>5.0847457627118651</v>
      </c>
      <c r="AV153" s="107">
        <v>6</v>
      </c>
      <c r="AW153" s="107">
        <f t="shared" si="182"/>
        <v>0</v>
      </c>
      <c r="AX153" s="107">
        <f t="shared" si="181"/>
        <v>0</v>
      </c>
      <c r="AY153" s="108">
        <f t="shared" si="164"/>
        <v>34.372881355932208</v>
      </c>
      <c r="AZ153" s="109">
        <f t="shared" si="164"/>
        <v>40.56</v>
      </c>
      <c r="BA153" s="9"/>
      <c r="BB153" s="9"/>
      <c r="BC153" s="9"/>
      <c r="BD153" s="9"/>
      <c r="BE153" s="45"/>
      <c r="BF153" s="45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</row>
    <row r="154" spans="1:93" s="4" customFormat="1" ht="183" outlineLevel="1" x14ac:dyDescent="0.25">
      <c r="A154" s="100">
        <f t="shared" si="157"/>
        <v>124</v>
      </c>
      <c r="B154" s="101" t="s">
        <v>265</v>
      </c>
      <c r="C154" s="102" t="s">
        <v>160</v>
      </c>
      <c r="D154" s="103" t="s">
        <v>19</v>
      </c>
      <c r="E154" s="104">
        <f t="shared" si="168"/>
        <v>5.2</v>
      </c>
      <c r="F154" s="105">
        <v>0</v>
      </c>
      <c r="G154" s="105">
        <f t="shared" si="159"/>
        <v>16.949152542372882</v>
      </c>
      <c r="H154" s="105">
        <v>20</v>
      </c>
      <c r="I154" s="105">
        <f t="shared" si="169"/>
        <v>0</v>
      </c>
      <c r="J154" s="104">
        <v>0</v>
      </c>
      <c r="K154" s="105">
        <f t="shared" si="156"/>
        <v>12.711864406779661</v>
      </c>
      <c r="L154" s="105">
        <v>15</v>
      </c>
      <c r="M154" s="105">
        <f t="shared" si="170"/>
        <v>0</v>
      </c>
      <c r="N154" s="106">
        <v>5.2</v>
      </c>
      <c r="O154" s="105">
        <f t="shared" si="171"/>
        <v>6.6101694915254239</v>
      </c>
      <c r="P154" s="105">
        <v>7.8</v>
      </c>
      <c r="Q154" s="105">
        <f t="shared" si="172"/>
        <v>40.56</v>
      </c>
      <c r="R154" s="104">
        <v>0</v>
      </c>
      <c r="S154" s="105">
        <f t="shared" si="173"/>
        <v>13.220338983050848</v>
      </c>
      <c r="T154" s="105">
        <v>15.6</v>
      </c>
      <c r="U154" s="105">
        <f t="shared" si="174"/>
        <v>0</v>
      </c>
      <c r="V154" s="105">
        <v>0</v>
      </c>
      <c r="W154" s="105">
        <f t="shared" ref="W154:W156" si="185">X154/1.18</f>
        <v>5.9322033898305087</v>
      </c>
      <c r="X154" s="105">
        <v>7</v>
      </c>
      <c r="Y154" s="105">
        <f t="shared" si="175"/>
        <v>0</v>
      </c>
      <c r="Z154" s="104">
        <v>0</v>
      </c>
      <c r="AA154" s="105">
        <f t="shared" si="160"/>
        <v>5.5084745762711869</v>
      </c>
      <c r="AB154" s="105">
        <v>6.5</v>
      </c>
      <c r="AC154" s="105">
        <f t="shared" si="176"/>
        <v>0</v>
      </c>
      <c r="AD154" s="105">
        <v>0</v>
      </c>
      <c r="AE154" s="105">
        <f t="shared" si="161"/>
        <v>4.2372881355932206</v>
      </c>
      <c r="AF154" s="105">
        <v>5</v>
      </c>
      <c r="AG154" s="105">
        <f t="shared" si="177"/>
        <v>0</v>
      </c>
      <c r="AH154" s="106">
        <v>0</v>
      </c>
      <c r="AI154" s="105">
        <f t="shared" si="162"/>
        <v>9.3220338983050848</v>
      </c>
      <c r="AJ154" s="105">
        <v>11</v>
      </c>
      <c r="AK154" s="105">
        <f t="shared" si="178"/>
        <v>0</v>
      </c>
      <c r="AL154" s="106">
        <v>0</v>
      </c>
      <c r="AM154" s="105">
        <f t="shared" si="179"/>
        <v>12.711864406779661</v>
      </c>
      <c r="AN154" s="105">
        <v>15</v>
      </c>
      <c r="AO154" s="105">
        <f t="shared" si="180"/>
        <v>0</v>
      </c>
      <c r="AP154" s="105">
        <f t="shared" si="166"/>
        <v>34.372881355932208</v>
      </c>
      <c r="AQ154" s="105">
        <f t="shared" si="167"/>
        <v>40.56</v>
      </c>
      <c r="AR154" s="106">
        <v>0</v>
      </c>
      <c r="AS154" s="105" t="s">
        <v>312</v>
      </c>
      <c r="AT154" s="107">
        <v>0</v>
      </c>
      <c r="AU154" s="107">
        <f t="shared" si="163"/>
        <v>5.0847457627118651</v>
      </c>
      <c r="AV154" s="107">
        <v>6</v>
      </c>
      <c r="AW154" s="107">
        <f t="shared" si="182"/>
        <v>0</v>
      </c>
      <c r="AX154" s="107">
        <f t="shared" si="181"/>
        <v>0</v>
      </c>
      <c r="AY154" s="108">
        <f t="shared" si="164"/>
        <v>34.372881355932208</v>
      </c>
      <c r="AZ154" s="109">
        <f t="shared" si="164"/>
        <v>40.56</v>
      </c>
      <c r="BA154" s="9"/>
      <c r="BB154" s="9"/>
      <c r="BC154" s="9"/>
      <c r="BD154" s="9"/>
      <c r="BE154" s="45"/>
      <c r="BF154" s="45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</row>
    <row r="155" spans="1:93" s="4" customFormat="1" ht="183" outlineLevel="1" x14ac:dyDescent="0.25">
      <c r="A155" s="100">
        <f t="shared" si="157"/>
        <v>125</v>
      </c>
      <c r="B155" s="101" t="s">
        <v>265</v>
      </c>
      <c r="C155" s="102" t="s">
        <v>161</v>
      </c>
      <c r="D155" s="103" t="s">
        <v>19</v>
      </c>
      <c r="E155" s="104">
        <f t="shared" si="168"/>
        <v>5.2</v>
      </c>
      <c r="F155" s="105">
        <v>0</v>
      </c>
      <c r="G155" s="105">
        <f t="shared" si="159"/>
        <v>16.949152542372882</v>
      </c>
      <c r="H155" s="105">
        <v>20</v>
      </c>
      <c r="I155" s="105">
        <f t="shared" si="169"/>
        <v>0</v>
      </c>
      <c r="J155" s="104">
        <v>0</v>
      </c>
      <c r="K155" s="105">
        <f t="shared" si="156"/>
        <v>12.711864406779661</v>
      </c>
      <c r="L155" s="105">
        <v>15</v>
      </c>
      <c r="M155" s="105">
        <f t="shared" si="170"/>
        <v>0</v>
      </c>
      <c r="N155" s="106">
        <v>5.2</v>
      </c>
      <c r="O155" s="105">
        <f t="shared" si="171"/>
        <v>6.6101694915254239</v>
      </c>
      <c r="P155" s="105">
        <v>7.8</v>
      </c>
      <c r="Q155" s="105">
        <f t="shared" si="172"/>
        <v>40.56</v>
      </c>
      <c r="R155" s="104">
        <v>0</v>
      </c>
      <c r="S155" s="105">
        <f t="shared" si="173"/>
        <v>13.220338983050848</v>
      </c>
      <c r="T155" s="105">
        <v>15.6</v>
      </c>
      <c r="U155" s="105">
        <f t="shared" si="174"/>
        <v>0</v>
      </c>
      <c r="V155" s="105">
        <v>0</v>
      </c>
      <c r="W155" s="105">
        <f t="shared" si="185"/>
        <v>5.9322033898305087</v>
      </c>
      <c r="X155" s="105">
        <v>7</v>
      </c>
      <c r="Y155" s="105">
        <f t="shared" si="175"/>
        <v>0</v>
      </c>
      <c r="Z155" s="104">
        <v>0</v>
      </c>
      <c r="AA155" s="105">
        <f t="shared" si="160"/>
        <v>5.5084745762711869</v>
      </c>
      <c r="AB155" s="105">
        <v>6.5</v>
      </c>
      <c r="AC155" s="105">
        <f t="shared" si="176"/>
        <v>0</v>
      </c>
      <c r="AD155" s="105">
        <v>0</v>
      </c>
      <c r="AE155" s="105">
        <f t="shared" si="161"/>
        <v>4.2372881355932206</v>
      </c>
      <c r="AF155" s="105">
        <v>5</v>
      </c>
      <c r="AG155" s="105">
        <f t="shared" si="177"/>
        <v>0</v>
      </c>
      <c r="AH155" s="106">
        <v>0</v>
      </c>
      <c r="AI155" s="105">
        <f t="shared" si="162"/>
        <v>9.3220338983050848</v>
      </c>
      <c r="AJ155" s="105">
        <v>11</v>
      </c>
      <c r="AK155" s="105">
        <f t="shared" si="178"/>
        <v>0</v>
      </c>
      <c r="AL155" s="106">
        <v>0</v>
      </c>
      <c r="AM155" s="105">
        <f t="shared" si="179"/>
        <v>12.711864406779661</v>
      </c>
      <c r="AN155" s="105">
        <v>15</v>
      </c>
      <c r="AO155" s="105">
        <f t="shared" si="180"/>
        <v>0</v>
      </c>
      <c r="AP155" s="105">
        <f t="shared" si="166"/>
        <v>34.372881355932208</v>
      </c>
      <c r="AQ155" s="105">
        <f t="shared" si="167"/>
        <v>40.56</v>
      </c>
      <c r="AR155" s="106">
        <v>0</v>
      </c>
      <c r="AS155" s="105" t="s">
        <v>312</v>
      </c>
      <c r="AT155" s="107">
        <v>0</v>
      </c>
      <c r="AU155" s="107">
        <f t="shared" si="163"/>
        <v>5.0847457627118651</v>
      </c>
      <c r="AV155" s="107">
        <v>6</v>
      </c>
      <c r="AW155" s="107">
        <f t="shared" si="182"/>
        <v>0</v>
      </c>
      <c r="AX155" s="107">
        <f t="shared" si="181"/>
        <v>0</v>
      </c>
      <c r="AY155" s="108">
        <f t="shared" si="164"/>
        <v>34.372881355932208</v>
      </c>
      <c r="AZ155" s="109">
        <f t="shared" si="164"/>
        <v>40.56</v>
      </c>
      <c r="BA155" s="9"/>
      <c r="BB155" s="9"/>
      <c r="BC155" s="9"/>
      <c r="BD155" s="9"/>
      <c r="BE155" s="45"/>
      <c r="BF155" s="45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</row>
    <row r="156" spans="1:93" s="4" customFormat="1" ht="183" outlineLevel="1" x14ac:dyDescent="0.25">
      <c r="A156" s="100">
        <f t="shared" si="157"/>
        <v>126</v>
      </c>
      <c r="B156" s="101" t="s">
        <v>265</v>
      </c>
      <c r="C156" s="102" t="s">
        <v>162</v>
      </c>
      <c r="D156" s="103" t="s">
        <v>19</v>
      </c>
      <c r="E156" s="104">
        <f t="shared" si="168"/>
        <v>5.2</v>
      </c>
      <c r="F156" s="105">
        <v>0</v>
      </c>
      <c r="G156" s="105">
        <f t="shared" si="159"/>
        <v>16.949152542372882</v>
      </c>
      <c r="H156" s="105">
        <v>20</v>
      </c>
      <c r="I156" s="105">
        <f t="shared" si="169"/>
        <v>0</v>
      </c>
      <c r="J156" s="104">
        <v>0</v>
      </c>
      <c r="K156" s="105">
        <f t="shared" si="156"/>
        <v>12.711864406779661</v>
      </c>
      <c r="L156" s="105">
        <v>15</v>
      </c>
      <c r="M156" s="105">
        <f t="shared" si="170"/>
        <v>0</v>
      </c>
      <c r="N156" s="106">
        <v>5.2</v>
      </c>
      <c r="O156" s="105">
        <f t="shared" si="171"/>
        <v>6.6101694915254239</v>
      </c>
      <c r="P156" s="105">
        <v>7.8</v>
      </c>
      <c r="Q156" s="105">
        <f t="shared" si="172"/>
        <v>40.56</v>
      </c>
      <c r="R156" s="104">
        <v>0</v>
      </c>
      <c r="S156" s="105">
        <f t="shared" si="173"/>
        <v>13.220338983050848</v>
      </c>
      <c r="T156" s="105">
        <v>15.6</v>
      </c>
      <c r="U156" s="105">
        <f t="shared" si="174"/>
        <v>0</v>
      </c>
      <c r="V156" s="105">
        <v>0</v>
      </c>
      <c r="W156" s="105">
        <f t="shared" si="185"/>
        <v>5.9322033898305087</v>
      </c>
      <c r="X156" s="105">
        <v>7</v>
      </c>
      <c r="Y156" s="105">
        <f t="shared" si="175"/>
        <v>0</v>
      </c>
      <c r="Z156" s="104">
        <v>0</v>
      </c>
      <c r="AA156" s="105">
        <f t="shared" si="160"/>
        <v>5.5084745762711869</v>
      </c>
      <c r="AB156" s="105">
        <v>6.5</v>
      </c>
      <c r="AC156" s="105">
        <f t="shared" si="176"/>
        <v>0</v>
      </c>
      <c r="AD156" s="105">
        <v>0</v>
      </c>
      <c r="AE156" s="105">
        <f t="shared" si="161"/>
        <v>4.2372881355932206</v>
      </c>
      <c r="AF156" s="105">
        <v>5</v>
      </c>
      <c r="AG156" s="105">
        <f t="shared" si="177"/>
        <v>0</v>
      </c>
      <c r="AH156" s="106">
        <v>0</v>
      </c>
      <c r="AI156" s="105">
        <f t="shared" si="162"/>
        <v>9.3220338983050848</v>
      </c>
      <c r="AJ156" s="105">
        <v>11</v>
      </c>
      <c r="AK156" s="105">
        <f t="shared" si="178"/>
        <v>0</v>
      </c>
      <c r="AL156" s="106">
        <v>0</v>
      </c>
      <c r="AM156" s="105">
        <f t="shared" si="179"/>
        <v>12.711864406779661</v>
      </c>
      <c r="AN156" s="105">
        <v>15</v>
      </c>
      <c r="AO156" s="105">
        <f t="shared" si="180"/>
        <v>0</v>
      </c>
      <c r="AP156" s="105">
        <f t="shared" si="166"/>
        <v>34.372881355932208</v>
      </c>
      <c r="AQ156" s="105">
        <f t="shared" si="167"/>
        <v>40.56</v>
      </c>
      <c r="AR156" s="106">
        <v>0</v>
      </c>
      <c r="AS156" s="105" t="s">
        <v>312</v>
      </c>
      <c r="AT156" s="107">
        <v>0</v>
      </c>
      <c r="AU156" s="107">
        <f t="shared" si="163"/>
        <v>5.0847457627118651</v>
      </c>
      <c r="AV156" s="107">
        <v>6</v>
      </c>
      <c r="AW156" s="107">
        <f t="shared" si="182"/>
        <v>0</v>
      </c>
      <c r="AX156" s="107">
        <f t="shared" si="181"/>
        <v>0</v>
      </c>
      <c r="AY156" s="108">
        <f t="shared" si="164"/>
        <v>34.372881355932208</v>
      </c>
      <c r="AZ156" s="109">
        <f t="shared" si="164"/>
        <v>40.56</v>
      </c>
      <c r="BA156" s="9"/>
      <c r="BB156" s="9"/>
      <c r="BC156" s="9"/>
      <c r="BD156" s="9"/>
      <c r="BE156" s="45"/>
      <c r="BF156" s="45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</row>
    <row r="157" spans="1:93" s="4" customFormat="1" ht="183" outlineLevel="1" x14ac:dyDescent="0.25">
      <c r="A157" s="100">
        <f t="shared" si="157"/>
        <v>127</v>
      </c>
      <c r="B157" s="101" t="s">
        <v>265</v>
      </c>
      <c r="C157" s="102" t="s">
        <v>163</v>
      </c>
      <c r="D157" s="103" t="s">
        <v>19</v>
      </c>
      <c r="E157" s="104">
        <f t="shared" si="168"/>
        <v>5.2</v>
      </c>
      <c r="F157" s="105">
        <v>0</v>
      </c>
      <c r="G157" s="105">
        <f t="shared" si="159"/>
        <v>16.949152542372882</v>
      </c>
      <c r="H157" s="105">
        <v>20</v>
      </c>
      <c r="I157" s="105">
        <f t="shared" si="169"/>
        <v>0</v>
      </c>
      <c r="J157" s="104">
        <v>0</v>
      </c>
      <c r="K157" s="105">
        <f t="shared" si="156"/>
        <v>12.711864406779661</v>
      </c>
      <c r="L157" s="105">
        <v>15</v>
      </c>
      <c r="M157" s="105">
        <f t="shared" si="170"/>
        <v>0</v>
      </c>
      <c r="N157" s="106">
        <v>5.2</v>
      </c>
      <c r="O157" s="105">
        <f t="shared" si="171"/>
        <v>6.6101694915254239</v>
      </c>
      <c r="P157" s="105">
        <v>7.8</v>
      </c>
      <c r="Q157" s="105">
        <f t="shared" si="172"/>
        <v>40.56</v>
      </c>
      <c r="R157" s="104">
        <v>0</v>
      </c>
      <c r="S157" s="105">
        <f t="shared" si="173"/>
        <v>13.220338983050848</v>
      </c>
      <c r="T157" s="105">
        <v>15.6</v>
      </c>
      <c r="U157" s="105">
        <f t="shared" si="174"/>
        <v>0</v>
      </c>
      <c r="V157" s="105">
        <v>0</v>
      </c>
      <c r="W157" s="105">
        <v>4.2</v>
      </c>
      <c r="X157" s="105">
        <v>7</v>
      </c>
      <c r="Y157" s="105">
        <f t="shared" si="175"/>
        <v>0</v>
      </c>
      <c r="Z157" s="104">
        <v>0</v>
      </c>
      <c r="AA157" s="105">
        <f t="shared" si="160"/>
        <v>5.5084745762711869</v>
      </c>
      <c r="AB157" s="105">
        <v>6.5</v>
      </c>
      <c r="AC157" s="105">
        <f t="shared" si="176"/>
        <v>0</v>
      </c>
      <c r="AD157" s="105">
        <v>0</v>
      </c>
      <c r="AE157" s="105">
        <f t="shared" si="161"/>
        <v>4.2372881355932206</v>
      </c>
      <c r="AF157" s="105">
        <v>5</v>
      </c>
      <c r="AG157" s="105">
        <f t="shared" si="177"/>
        <v>0</v>
      </c>
      <c r="AH157" s="106">
        <v>0</v>
      </c>
      <c r="AI157" s="105">
        <f t="shared" si="162"/>
        <v>9.3220338983050848</v>
      </c>
      <c r="AJ157" s="105">
        <v>11</v>
      </c>
      <c r="AK157" s="105">
        <f t="shared" si="178"/>
        <v>0</v>
      </c>
      <c r="AL157" s="106">
        <v>0</v>
      </c>
      <c r="AM157" s="105">
        <f t="shared" si="179"/>
        <v>12.711864406779661</v>
      </c>
      <c r="AN157" s="105">
        <v>15</v>
      </c>
      <c r="AO157" s="105">
        <f t="shared" si="180"/>
        <v>0</v>
      </c>
      <c r="AP157" s="105">
        <f t="shared" si="166"/>
        <v>34.372881355932208</v>
      </c>
      <c r="AQ157" s="105">
        <f t="shared" si="167"/>
        <v>40.56</v>
      </c>
      <c r="AR157" s="106">
        <v>0</v>
      </c>
      <c r="AS157" s="105" t="s">
        <v>312</v>
      </c>
      <c r="AT157" s="107">
        <v>0</v>
      </c>
      <c r="AU157" s="107">
        <f t="shared" si="163"/>
        <v>5.0847457627118651</v>
      </c>
      <c r="AV157" s="107">
        <v>6</v>
      </c>
      <c r="AW157" s="107">
        <f t="shared" si="182"/>
        <v>0</v>
      </c>
      <c r="AX157" s="107">
        <f t="shared" si="181"/>
        <v>0</v>
      </c>
      <c r="AY157" s="108">
        <f t="shared" si="164"/>
        <v>34.372881355932208</v>
      </c>
      <c r="AZ157" s="109">
        <f t="shared" si="164"/>
        <v>40.56</v>
      </c>
      <c r="BA157" s="9"/>
      <c r="BB157" s="9"/>
      <c r="BC157" s="9"/>
      <c r="BD157" s="9"/>
      <c r="BE157" s="45"/>
      <c r="BF157" s="45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</row>
    <row r="158" spans="1:93" s="4" customFormat="1" ht="183" outlineLevel="1" x14ac:dyDescent="0.25">
      <c r="A158" s="100">
        <f t="shared" si="157"/>
        <v>128</v>
      </c>
      <c r="B158" s="101" t="s">
        <v>265</v>
      </c>
      <c r="C158" s="102" t="s">
        <v>164</v>
      </c>
      <c r="D158" s="103" t="s">
        <v>19</v>
      </c>
      <c r="E158" s="104">
        <f t="shared" si="168"/>
        <v>5.2</v>
      </c>
      <c r="F158" s="105">
        <v>0</v>
      </c>
      <c r="G158" s="105">
        <f t="shared" si="159"/>
        <v>16.949152542372882</v>
      </c>
      <c r="H158" s="105">
        <v>20</v>
      </c>
      <c r="I158" s="105">
        <f t="shared" si="169"/>
        <v>0</v>
      </c>
      <c r="J158" s="104">
        <v>0</v>
      </c>
      <c r="K158" s="105">
        <f t="shared" si="156"/>
        <v>12.711864406779661</v>
      </c>
      <c r="L158" s="105">
        <v>15</v>
      </c>
      <c r="M158" s="105">
        <f t="shared" si="170"/>
        <v>0</v>
      </c>
      <c r="N158" s="106">
        <v>5.2</v>
      </c>
      <c r="O158" s="105">
        <f t="shared" si="171"/>
        <v>6.6101694915254239</v>
      </c>
      <c r="P158" s="105">
        <v>7.8</v>
      </c>
      <c r="Q158" s="105">
        <f t="shared" si="172"/>
        <v>40.56</v>
      </c>
      <c r="R158" s="104">
        <v>0</v>
      </c>
      <c r="S158" s="105">
        <f t="shared" si="173"/>
        <v>13.220338983050848</v>
      </c>
      <c r="T158" s="105">
        <v>15.6</v>
      </c>
      <c r="U158" s="105">
        <f t="shared" si="174"/>
        <v>0</v>
      </c>
      <c r="V158" s="105">
        <v>0</v>
      </c>
      <c r="W158" s="105">
        <f t="shared" ref="W158:W160" si="186">X158/1.18</f>
        <v>5.9322033898305087</v>
      </c>
      <c r="X158" s="105">
        <v>7</v>
      </c>
      <c r="Y158" s="105">
        <f t="shared" si="175"/>
        <v>0</v>
      </c>
      <c r="Z158" s="104">
        <v>0</v>
      </c>
      <c r="AA158" s="105">
        <f t="shared" si="160"/>
        <v>5.5084745762711869</v>
      </c>
      <c r="AB158" s="105">
        <v>6.5</v>
      </c>
      <c r="AC158" s="105">
        <f t="shared" si="176"/>
        <v>0</v>
      </c>
      <c r="AD158" s="105">
        <v>0</v>
      </c>
      <c r="AE158" s="105">
        <f t="shared" si="161"/>
        <v>4.2372881355932206</v>
      </c>
      <c r="AF158" s="105">
        <v>5</v>
      </c>
      <c r="AG158" s="105">
        <f t="shared" si="177"/>
        <v>0</v>
      </c>
      <c r="AH158" s="106">
        <v>0</v>
      </c>
      <c r="AI158" s="105">
        <f t="shared" si="162"/>
        <v>9.3220338983050848</v>
      </c>
      <c r="AJ158" s="105">
        <v>11</v>
      </c>
      <c r="AK158" s="105">
        <f t="shared" si="178"/>
        <v>0</v>
      </c>
      <c r="AL158" s="106">
        <v>0</v>
      </c>
      <c r="AM158" s="105">
        <f t="shared" si="179"/>
        <v>12.711864406779661</v>
      </c>
      <c r="AN158" s="105">
        <v>15</v>
      </c>
      <c r="AO158" s="105">
        <f t="shared" si="180"/>
        <v>0</v>
      </c>
      <c r="AP158" s="105">
        <f t="shared" si="166"/>
        <v>34.372881355932208</v>
      </c>
      <c r="AQ158" s="105">
        <f t="shared" si="167"/>
        <v>40.56</v>
      </c>
      <c r="AR158" s="106">
        <v>0</v>
      </c>
      <c r="AS158" s="105" t="s">
        <v>312</v>
      </c>
      <c r="AT158" s="107">
        <v>0</v>
      </c>
      <c r="AU158" s="107">
        <f t="shared" si="163"/>
        <v>5.0847457627118651</v>
      </c>
      <c r="AV158" s="107">
        <v>6</v>
      </c>
      <c r="AW158" s="107">
        <f t="shared" si="182"/>
        <v>0</v>
      </c>
      <c r="AX158" s="107">
        <f t="shared" si="181"/>
        <v>0</v>
      </c>
      <c r="AY158" s="108">
        <f t="shared" si="164"/>
        <v>34.372881355932208</v>
      </c>
      <c r="AZ158" s="109">
        <f t="shared" si="164"/>
        <v>40.56</v>
      </c>
      <c r="BA158" s="9"/>
      <c r="BB158" s="9"/>
      <c r="BC158" s="9"/>
      <c r="BD158" s="9"/>
      <c r="BE158" s="45"/>
      <c r="BF158" s="45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</row>
    <row r="159" spans="1:93" s="4" customFormat="1" ht="183" outlineLevel="1" x14ac:dyDescent="0.25">
      <c r="A159" s="100">
        <f t="shared" si="157"/>
        <v>129</v>
      </c>
      <c r="B159" s="101" t="s">
        <v>265</v>
      </c>
      <c r="C159" s="102" t="s">
        <v>165</v>
      </c>
      <c r="D159" s="103" t="s">
        <v>19</v>
      </c>
      <c r="E159" s="104">
        <f t="shared" si="168"/>
        <v>13.5</v>
      </c>
      <c r="F159" s="105">
        <v>0</v>
      </c>
      <c r="G159" s="105">
        <f t="shared" si="159"/>
        <v>16.949152542372882</v>
      </c>
      <c r="H159" s="105">
        <v>20</v>
      </c>
      <c r="I159" s="105">
        <f t="shared" si="169"/>
        <v>0</v>
      </c>
      <c r="J159" s="104">
        <v>0</v>
      </c>
      <c r="K159" s="105">
        <f t="shared" si="156"/>
        <v>12.711864406779661</v>
      </c>
      <c r="L159" s="105">
        <v>15</v>
      </c>
      <c r="M159" s="105">
        <f t="shared" si="170"/>
        <v>0</v>
      </c>
      <c r="N159" s="106">
        <v>13.5</v>
      </c>
      <c r="O159" s="105">
        <f t="shared" si="171"/>
        <v>6.6101694915254239</v>
      </c>
      <c r="P159" s="105">
        <v>7.8</v>
      </c>
      <c r="Q159" s="105">
        <f t="shared" si="172"/>
        <v>105.3</v>
      </c>
      <c r="R159" s="104">
        <v>0</v>
      </c>
      <c r="S159" s="105">
        <f t="shared" si="173"/>
        <v>13.220338983050848</v>
      </c>
      <c r="T159" s="105">
        <v>15.6</v>
      </c>
      <c r="U159" s="105">
        <f t="shared" si="174"/>
        <v>0</v>
      </c>
      <c r="V159" s="105">
        <v>0</v>
      </c>
      <c r="W159" s="105">
        <f t="shared" si="186"/>
        <v>5.9322033898305087</v>
      </c>
      <c r="X159" s="105">
        <v>7</v>
      </c>
      <c r="Y159" s="105">
        <f t="shared" si="175"/>
        <v>0</v>
      </c>
      <c r="Z159" s="104">
        <v>0</v>
      </c>
      <c r="AA159" s="105">
        <f t="shared" si="160"/>
        <v>5.5084745762711869</v>
      </c>
      <c r="AB159" s="105">
        <v>6.5</v>
      </c>
      <c r="AC159" s="105">
        <f t="shared" si="176"/>
        <v>0</v>
      </c>
      <c r="AD159" s="105">
        <v>0</v>
      </c>
      <c r="AE159" s="105">
        <f t="shared" si="161"/>
        <v>4.2372881355932206</v>
      </c>
      <c r="AF159" s="105">
        <v>5</v>
      </c>
      <c r="AG159" s="105">
        <f t="shared" si="177"/>
        <v>0</v>
      </c>
      <c r="AH159" s="106">
        <v>0</v>
      </c>
      <c r="AI159" s="105">
        <f t="shared" si="162"/>
        <v>9.3220338983050848</v>
      </c>
      <c r="AJ159" s="105">
        <v>11</v>
      </c>
      <c r="AK159" s="105">
        <f t="shared" si="178"/>
        <v>0</v>
      </c>
      <c r="AL159" s="106">
        <v>0</v>
      </c>
      <c r="AM159" s="105">
        <f t="shared" si="179"/>
        <v>12.711864406779661</v>
      </c>
      <c r="AN159" s="105">
        <v>15</v>
      </c>
      <c r="AO159" s="105">
        <f t="shared" si="180"/>
        <v>0</v>
      </c>
      <c r="AP159" s="105">
        <f t="shared" si="166"/>
        <v>89.237288135593218</v>
      </c>
      <c r="AQ159" s="105">
        <f t="shared" si="167"/>
        <v>105.3</v>
      </c>
      <c r="AR159" s="106">
        <v>0</v>
      </c>
      <c r="AS159" s="105" t="s">
        <v>312</v>
      </c>
      <c r="AT159" s="107">
        <v>0</v>
      </c>
      <c r="AU159" s="107">
        <f t="shared" si="163"/>
        <v>5.0847457627118651</v>
      </c>
      <c r="AV159" s="107">
        <v>6</v>
      </c>
      <c r="AW159" s="107">
        <f t="shared" si="182"/>
        <v>0</v>
      </c>
      <c r="AX159" s="107">
        <f t="shared" si="181"/>
        <v>0</v>
      </c>
      <c r="AY159" s="108">
        <f t="shared" si="164"/>
        <v>89.237288135593218</v>
      </c>
      <c r="AZ159" s="109">
        <f t="shared" si="164"/>
        <v>105.3</v>
      </c>
      <c r="BA159" s="9"/>
      <c r="BB159" s="9"/>
      <c r="BC159" s="9"/>
      <c r="BD159" s="9"/>
      <c r="BE159" s="45"/>
      <c r="BF159" s="45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</row>
    <row r="160" spans="1:93" s="4" customFormat="1" ht="183" outlineLevel="1" x14ac:dyDescent="0.25">
      <c r="A160" s="100">
        <f t="shared" si="157"/>
        <v>130</v>
      </c>
      <c r="B160" s="101" t="s">
        <v>265</v>
      </c>
      <c r="C160" s="102" t="s">
        <v>166</v>
      </c>
      <c r="D160" s="103" t="s">
        <v>19</v>
      </c>
      <c r="E160" s="104">
        <f t="shared" si="168"/>
        <v>12.5</v>
      </c>
      <c r="F160" s="105">
        <v>0</v>
      </c>
      <c r="G160" s="105">
        <f t="shared" si="159"/>
        <v>16.949152542372882</v>
      </c>
      <c r="H160" s="105">
        <v>20</v>
      </c>
      <c r="I160" s="105">
        <f t="shared" si="169"/>
        <v>0</v>
      </c>
      <c r="J160" s="104">
        <v>0</v>
      </c>
      <c r="K160" s="105">
        <f t="shared" si="156"/>
        <v>12.711864406779661</v>
      </c>
      <c r="L160" s="105">
        <v>15</v>
      </c>
      <c r="M160" s="105">
        <f t="shared" si="170"/>
        <v>0</v>
      </c>
      <c r="N160" s="106">
        <v>12.5</v>
      </c>
      <c r="O160" s="105">
        <f t="shared" si="171"/>
        <v>6.6101694915254239</v>
      </c>
      <c r="P160" s="105">
        <v>7.8</v>
      </c>
      <c r="Q160" s="105">
        <f t="shared" si="172"/>
        <v>97.5</v>
      </c>
      <c r="R160" s="104">
        <v>0</v>
      </c>
      <c r="S160" s="105">
        <f t="shared" si="173"/>
        <v>13.220338983050848</v>
      </c>
      <c r="T160" s="105">
        <v>15.6</v>
      </c>
      <c r="U160" s="105">
        <f t="shared" si="174"/>
        <v>0</v>
      </c>
      <c r="V160" s="105">
        <v>0</v>
      </c>
      <c r="W160" s="105">
        <f t="shared" si="186"/>
        <v>5.9322033898305087</v>
      </c>
      <c r="X160" s="105">
        <v>7</v>
      </c>
      <c r="Y160" s="105">
        <f t="shared" si="175"/>
        <v>0</v>
      </c>
      <c r="Z160" s="104">
        <v>0</v>
      </c>
      <c r="AA160" s="105">
        <f t="shared" si="160"/>
        <v>5.5084745762711869</v>
      </c>
      <c r="AB160" s="105">
        <v>6.5</v>
      </c>
      <c r="AC160" s="105">
        <f t="shared" si="176"/>
        <v>0</v>
      </c>
      <c r="AD160" s="105">
        <v>0</v>
      </c>
      <c r="AE160" s="105">
        <f t="shared" si="161"/>
        <v>4.2372881355932206</v>
      </c>
      <c r="AF160" s="105">
        <v>5</v>
      </c>
      <c r="AG160" s="105">
        <f t="shared" si="177"/>
        <v>0</v>
      </c>
      <c r="AH160" s="106">
        <v>0</v>
      </c>
      <c r="AI160" s="105">
        <f t="shared" si="162"/>
        <v>9.3220338983050848</v>
      </c>
      <c r="AJ160" s="105">
        <v>11</v>
      </c>
      <c r="AK160" s="105">
        <f t="shared" si="178"/>
        <v>0</v>
      </c>
      <c r="AL160" s="106">
        <v>0</v>
      </c>
      <c r="AM160" s="105">
        <f t="shared" si="179"/>
        <v>12.711864406779661</v>
      </c>
      <c r="AN160" s="105">
        <v>15</v>
      </c>
      <c r="AO160" s="105">
        <f t="shared" si="180"/>
        <v>0</v>
      </c>
      <c r="AP160" s="105">
        <f t="shared" si="166"/>
        <v>82.627118644067806</v>
      </c>
      <c r="AQ160" s="105">
        <f t="shared" si="167"/>
        <v>97.5</v>
      </c>
      <c r="AR160" s="106">
        <v>0</v>
      </c>
      <c r="AS160" s="105" t="s">
        <v>312</v>
      </c>
      <c r="AT160" s="107">
        <v>0</v>
      </c>
      <c r="AU160" s="107">
        <f t="shared" si="163"/>
        <v>5.0847457627118651</v>
      </c>
      <c r="AV160" s="107">
        <v>6</v>
      </c>
      <c r="AW160" s="107">
        <f t="shared" si="182"/>
        <v>0</v>
      </c>
      <c r="AX160" s="107">
        <f t="shared" si="181"/>
        <v>0</v>
      </c>
      <c r="AY160" s="108">
        <f t="shared" si="164"/>
        <v>82.627118644067806</v>
      </c>
      <c r="AZ160" s="109">
        <f t="shared" si="164"/>
        <v>97.5</v>
      </c>
      <c r="BA160" s="9"/>
      <c r="BB160" s="9"/>
      <c r="BC160" s="9"/>
      <c r="BD160" s="9"/>
      <c r="BE160" s="45"/>
      <c r="BF160" s="45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</row>
    <row r="161" spans="1:93" s="4" customFormat="1" ht="183" outlineLevel="1" x14ac:dyDescent="0.25">
      <c r="A161" s="100">
        <f t="shared" si="157"/>
        <v>131</v>
      </c>
      <c r="B161" s="101" t="s">
        <v>265</v>
      </c>
      <c r="C161" s="102" t="s">
        <v>167</v>
      </c>
      <c r="D161" s="103" t="s">
        <v>19</v>
      </c>
      <c r="E161" s="104">
        <f t="shared" si="168"/>
        <v>17.899999999999999</v>
      </c>
      <c r="F161" s="105">
        <v>0</v>
      </c>
      <c r="G161" s="105">
        <f t="shared" si="159"/>
        <v>16.949152542372882</v>
      </c>
      <c r="H161" s="105">
        <v>20</v>
      </c>
      <c r="I161" s="105">
        <f t="shared" si="169"/>
        <v>0</v>
      </c>
      <c r="J161" s="104">
        <v>0</v>
      </c>
      <c r="K161" s="105">
        <f t="shared" si="156"/>
        <v>12.711864406779661</v>
      </c>
      <c r="L161" s="105">
        <v>15</v>
      </c>
      <c r="M161" s="105">
        <f t="shared" si="170"/>
        <v>0</v>
      </c>
      <c r="N161" s="106">
        <v>17.899999999999999</v>
      </c>
      <c r="O161" s="105">
        <f t="shared" si="171"/>
        <v>6.6101694915254239</v>
      </c>
      <c r="P161" s="105">
        <v>7.8</v>
      </c>
      <c r="Q161" s="105">
        <f t="shared" si="172"/>
        <v>139.61999999999998</v>
      </c>
      <c r="R161" s="104">
        <v>0</v>
      </c>
      <c r="S161" s="105">
        <f t="shared" si="173"/>
        <v>13.220338983050848</v>
      </c>
      <c r="T161" s="105">
        <v>15.6</v>
      </c>
      <c r="U161" s="105">
        <f t="shared" si="174"/>
        <v>0</v>
      </c>
      <c r="V161" s="105">
        <v>0</v>
      </c>
      <c r="W161" s="105">
        <v>4.2</v>
      </c>
      <c r="X161" s="105">
        <v>7</v>
      </c>
      <c r="Y161" s="105">
        <f t="shared" si="175"/>
        <v>0</v>
      </c>
      <c r="Z161" s="104">
        <v>0</v>
      </c>
      <c r="AA161" s="105">
        <f t="shared" si="160"/>
        <v>5.5084745762711869</v>
      </c>
      <c r="AB161" s="105">
        <v>6.5</v>
      </c>
      <c r="AC161" s="105">
        <f t="shared" si="176"/>
        <v>0</v>
      </c>
      <c r="AD161" s="105">
        <v>0</v>
      </c>
      <c r="AE161" s="105">
        <f t="shared" si="161"/>
        <v>4.2372881355932206</v>
      </c>
      <c r="AF161" s="105">
        <v>5</v>
      </c>
      <c r="AG161" s="105">
        <f t="shared" si="177"/>
        <v>0</v>
      </c>
      <c r="AH161" s="106">
        <v>0</v>
      </c>
      <c r="AI161" s="105">
        <f t="shared" si="162"/>
        <v>9.3220338983050848</v>
      </c>
      <c r="AJ161" s="105">
        <v>11</v>
      </c>
      <c r="AK161" s="105">
        <f t="shared" si="178"/>
        <v>0</v>
      </c>
      <c r="AL161" s="106">
        <v>0</v>
      </c>
      <c r="AM161" s="105">
        <f t="shared" si="179"/>
        <v>12.711864406779661</v>
      </c>
      <c r="AN161" s="105">
        <v>15</v>
      </c>
      <c r="AO161" s="105">
        <f t="shared" si="180"/>
        <v>0</v>
      </c>
      <c r="AP161" s="105">
        <f t="shared" si="166"/>
        <v>118.32203389830507</v>
      </c>
      <c r="AQ161" s="105">
        <f t="shared" si="167"/>
        <v>139.61999999999998</v>
      </c>
      <c r="AR161" s="106">
        <v>0</v>
      </c>
      <c r="AS161" s="105" t="s">
        <v>312</v>
      </c>
      <c r="AT161" s="107">
        <v>0</v>
      </c>
      <c r="AU161" s="107">
        <f t="shared" si="163"/>
        <v>5.0847457627118651</v>
      </c>
      <c r="AV161" s="107">
        <v>6</v>
      </c>
      <c r="AW161" s="107">
        <f t="shared" si="182"/>
        <v>0</v>
      </c>
      <c r="AX161" s="107">
        <f t="shared" si="181"/>
        <v>0</v>
      </c>
      <c r="AY161" s="108">
        <f t="shared" si="164"/>
        <v>118.32203389830507</v>
      </c>
      <c r="AZ161" s="109">
        <f t="shared" si="164"/>
        <v>139.61999999999998</v>
      </c>
      <c r="BA161" s="9"/>
      <c r="BB161" s="9"/>
      <c r="BC161" s="9"/>
      <c r="BD161" s="9"/>
      <c r="BE161" s="45"/>
      <c r="BF161" s="45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</row>
    <row r="162" spans="1:93" s="4" customFormat="1" ht="183" outlineLevel="1" x14ac:dyDescent="0.25">
      <c r="A162" s="100">
        <f t="shared" si="157"/>
        <v>132</v>
      </c>
      <c r="B162" s="101" t="s">
        <v>265</v>
      </c>
      <c r="C162" s="102" t="s">
        <v>168</v>
      </c>
      <c r="D162" s="103" t="s">
        <v>19</v>
      </c>
      <c r="E162" s="104">
        <f t="shared" si="168"/>
        <v>20.7</v>
      </c>
      <c r="F162" s="105">
        <v>0</v>
      </c>
      <c r="G162" s="105">
        <f t="shared" si="159"/>
        <v>16.949152542372882</v>
      </c>
      <c r="H162" s="105">
        <v>20</v>
      </c>
      <c r="I162" s="105">
        <f t="shared" si="169"/>
        <v>0</v>
      </c>
      <c r="J162" s="104">
        <v>0</v>
      </c>
      <c r="K162" s="105">
        <f t="shared" si="156"/>
        <v>12.711864406779661</v>
      </c>
      <c r="L162" s="105">
        <v>15</v>
      </c>
      <c r="M162" s="105">
        <f t="shared" si="170"/>
        <v>0</v>
      </c>
      <c r="N162" s="106">
        <v>20.7</v>
      </c>
      <c r="O162" s="105">
        <f t="shared" si="171"/>
        <v>6.6101694915254239</v>
      </c>
      <c r="P162" s="105">
        <v>7.8</v>
      </c>
      <c r="Q162" s="105">
        <f t="shared" si="172"/>
        <v>161.45999999999998</v>
      </c>
      <c r="R162" s="104">
        <v>0</v>
      </c>
      <c r="S162" s="105">
        <f t="shared" si="173"/>
        <v>13.220338983050848</v>
      </c>
      <c r="T162" s="105">
        <v>15.6</v>
      </c>
      <c r="U162" s="105">
        <f t="shared" si="174"/>
        <v>0</v>
      </c>
      <c r="V162" s="105">
        <v>0</v>
      </c>
      <c r="W162" s="105">
        <f t="shared" ref="W162:W163" si="187">X162/1.18</f>
        <v>5.9322033898305087</v>
      </c>
      <c r="X162" s="105">
        <v>7</v>
      </c>
      <c r="Y162" s="105">
        <f t="shared" si="175"/>
        <v>0</v>
      </c>
      <c r="Z162" s="104">
        <v>0</v>
      </c>
      <c r="AA162" s="105">
        <f t="shared" si="160"/>
        <v>5.5084745762711869</v>
      </c>
      <c r="AB162" s="105">
        <v>6.5</v>
      </c>
      <c r="AC162" s="105">
        <f t="shared" si="176"/>
        <v>0</v>
      </c>
      <c r="AD162" s="105">
        <v>0</v>
      </c>
      <c r="AE162" s="105">
        <f t="shared" si="161"/>
        <v>4.2372881355932206</v>
      </c>
      <c r="AF162" s="105">
        <v>5</v>
      </c>
      <c r="AG162" s="105">
        <f t="shared" si="177"/>
        <v>0</v>
      </c>
      <c r="AH162" s="106">
        <v>0</v>
      </c>
      <c r="AI162" s="105">
        <f t="shared" si="162"/>
        <v>9.3220338983050848</v>
      </c>
      <c r="AJ162" s="105">
        <v>11</v>
      </c>
      <c r="AK162" s="105">
        <f t="shared" si="178"/>
        <v>0</v>
      </c>
      <c r="AL162" s="106">
        <v>0</v>
      </c>
      <c r="AM162" s="105">
        <f t="shared" si="179"/>
        <v>12.711864406779661</v>
      </c>
      <c r="AN162" s="105">
        <v>15</v>
      </c>
      <c r="AO162" s="105">
        <f t="shared" si="180"/>
        <v>0</v>
      </c>
      <c r="AP162" s="105">
        <f t="shared" si="166"/>
        <v>136.83050847457625</v>
      </c>
      <c r="AQ162" s="105">
        <f t="shared" si="167"/>
        <v>161.45999999999998</v>
      </c>
      <c r="AR162" s="106">
        <v>0</v>
      </c>
      <c r="AS162" s="105" t="s">
        <v>312</v>
      </c>
      <c r="AT162" s="107">
        <v>0</v>
      </c>
      <c r="AU162" s="107">
        <f t="shared" si="163"/>
        <v>5.0847457627118651</v>
      </c>
      <c r="AV162" s="107">
        <v>6</v>
      </c>
      <c r="AW162" s="107">
        <f t="shared" si="182"/>
        <v>0</v>
      </c>
      <c r="AX162" s="107">
        <f t="shared" si="181"/>
        <v>0</v>
      </c>
      <c r="AY162" s="108">
        <f t="shared" si="164"/>
        <v>136.83050847457625</v>
      </c>
      <c r="AZ162" s="109">
        <f t="shared" si="164"/>
        <v>161.45999999999998</v>
      </c>
      <c r="BA162" s="9"/>
      <c r="BB162" s="9"/>
      <c r="BC162" s="9"/>
      <c r="BD162" s="9"/>
      <c r="BE162" s="45"/>
      <c r="BF162" s="45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</row>
    <row r="163" spans="1:93" s="4" customFormat="1" ht="183" outlineLevel="1" x14ac:dyDescent="0.25">
      <c r="A163" s="100">
        <f t="shared" si="157"/>
        <v>133</v>
      </c>
      <c r="B163" s="101" t="s">
        <v>265</v>
      </c>
      <c r="C163" s="102" t="s">
        <v>169</v>
      </c>
      <c r="D163" s="103" t="s">
        <v>19</v>
      </c>
      <c r="E163" s="104">
        <f t="shared" si="168"/>
        <v>7.5</v>
      </c>
      <c r="F163" s="105">
        <v>0</v>
      </c>
      <c r="G163" s="105">
        <f t="shared" si="159"/>
        <v>16.949152542372882</v>
      </c>
      <c r="H163" s="105">
        <v>20</v>
      </c>
      <c r="I163" s="105">
        <f t="shared" si="169"/>
        <v>0</v>
      </c>
      <c r="J163" s="104">
        <v>0</v>
      </c>
      <c r="K163" s="105">
        <f t="shared" si="156"/>
        <v>12.711864406779661</v>
      </c>
      <c r="L163" s="105">
        <v>15</v>
      </c>
      <c r="M163" s="105">
        <f t="shared" si="170"/>
        <v>0</v>
      </c>
      <c r="N163" s="106">
        <v>7.5</v>
      </c>
      <c r="O163" s="105">
        <f t="shared" si="171"/>
        <v>6.6101694915254239</v>
      </c>
      <c r="P163" s="105">
        <v>7.8</v>
      </c>
      <c r="Q163" s="105">
        <f t="shared" si="172"/>
        <v>58.5</v>
      </c>
      <c r="R163" s="104">
        <v>0</v>
      </c>
      <c r="S163" s="105">
        <f t="shared" si="173"/>
        <v>13.220338983050848</v>
      </c>
      <c r="T163" s="105">
        <v>15.6</v>
      </c>
      <c r="U163" s="105">
        <f t="shared" si="174"/>
        <v>0</v>
      </c>
      <c r="V163" s="105">
        <v>0</v>
      </c>
      <c r="W163" s="105">
        <f t="shared" si="187"/>
        <v>5.9322033898305087</v>
      </c>
      <c r="X163" s="105">
        <v>7</v>
      </c>
      <c r="Y163" s="105">
        <f t="shared" si="175"/>
        <v>0</v>
      </c>
      <c r="Z163" s="104">
        <v>0</v>
      </c>
      <c r="AA163" s="105">
        <f t="shared" si="160"/>
        <v>5.5084745762711869</v>
      </c>
      <c r="AB163" s="105">
        <v>6.5</v>
      </c>
      <c r="AC163" s="105">
        <f t="shared" si="176"/>
        <v>0</v>
      </c>
      <c r="AD163" s="105">
        <v>0</v>
      </c>
      <c r="AE163" s="105">
        <f t="shared" si="161"/>
        <v>4.2372881355932206</v>
      </c>
      <c r="AF163" s="105">
        <v>5</v>
      </c>
      <c r="AG163" s="105">
        <f t="shared" si="177"/>
        <v>0</v>
      </c>
      <c r="AH163" s="106">
        <v>0</v>
      </c>
      <c r="AI163" s="105">
        <f t="shared" si="162"/>
        <v>9.3220338983050848</v>
      </c>
      <c r="AJ163" s="105">
        <v>11</v>
      </c>
      <c r="AK163" s="105">
        <f t="shared" si="178"/>
        <v>0</v>
      </c>
      <c r="AL163" s="106">
        <v>0</v>
      </c>
      <c r="AM163" s="105">
        <f t="shared" si="179"/>
        <v>12.711864406779661</v>
      </c>
      <c r="AN163" s="105">
        <v>15</v>
      </c>
      <c r="AO163" s="105">
        <f t="shared" si="180"/>
        <v>0</v>
      </c>
      <c r="AP163" s="105">
        <f t="shared" si="166"/>
        <v>49.576271186440678</v>
      </c>
      <c r="AQ163" s="105">
        <f t="shared" si="167"/>
        <v>58.5</v>
      </c>
      <c r="AR163" s="106">
        <v>0</v>
      </c>
      <c r="AS163" s="105" t="s">
        <v>312</v>
      </c>
      <c r="AT163" s="107">
        <v>0</v>
      </c>
      <c r="AU163" s="107">
        <f t="shared" si="163"/>
        <v>5.0847457627118651</v>
      </c>
      <c r="AV163" s="107">
        <v>6</v>
      </c>
      <c r="AW163" s="107">
        <f t="shared" si="182"/>
        <v>0</v>
      </c>
      <c r="AX163" s="107">
        <f t="shared" si="181"/>
        <v>0</v>
      </c>
      <c r="AY163" s="108">
        <f t="shared" si="164"/>
        <v>49.576271186440678</v>
      </c>
      <c r="AZ163" s="109">
        <f t="shared" si="164"/>
        <v>58.5</v>
      </c>
      <c r="BA163" s="9"/>
      <c r="BB163" s="9"/>
      <c r="BC163" s="9"/>
      <c r="BD163" s="9"/>
      <c r="BE163" s="45"/>
      <c r="BF163" s="45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</row>
    <row r="164" spans="1:93" s="32" customFormat="1" ht="45.75" outlineLevel="1" x14ac:dyDescent="0.3">
      <c r="A164" s="149" t="s">
        <v>281</v>
      </c>
      <c r="B164" s="150"/>
      <c r="C164" s="150"/>
      <c r="D164" s="133"/>
      <c r="E164" s="104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11"/>
      <c r="AQ164" s="111"/>
      <c r="AR164" s="133"/>
      <c r="AS164" s="105"/>
      <c r="AT164" s="133"/>
      <c r="AU164" s="133"/>
      <c r="AV164" s="133"/>
      <c r="AW164" s="133"/>
      <c r="AX164" s="133"/>
      <c r="AY164" s="128"/>
      <c r="AZ164" s="112"/>
      <c r="BA164" s="30"/>
      <c r="BB164" s="30"/>
      <c r="BC164" s="30"/>
      <c r="BD164" s="30"/>
      <c r="BE164" s="75"/>
      <c r="BF164" s="75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</row>
    <row r="165" spans="1:93" s="32" customFormat="1" ht="45.75" outlineLevel="1" x14ac:dyDescent="0.3">
      <c r="A165" s="149" t="s">
        <v>235</v>
      </c>
      <c r="B165" s="150"/>
      <c r="C165" s="150"/>
      <c r="D165" s="133"/>
      <c r="E165" s="104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11"/>
      <c r="AQ165" s="111"/>
      <c r="AR165" s="133"/>
      <c r="AS165" s="105"/>
      <c r="AT165" s="133"/>
      <c r="AU165" s="133"/>
      <c r="AV165" s="133"/>
      <c r="AW165" s="133"/>
      <c r="AX165" s="133"/>
      <c r="AY165" s="111"/>
      <c r="AZ165" s="112"/>
      <c r="BA165" s="30"/>
      <c r="BB165" s="30"/>
      <c r="BC165" s="30"/>
      <c r="BD165" s="30"/>
      <c r="BE165" s="75"/>
      <c r="BF165" s="75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</row>
    <row r="166" spans="1:93" s="4" customFormat="1" ht="320.25" outlineLevel="1" x14ac:dyDescent="0.25">
      <c r="A166" s="100">
        <f>A163+1</f>
        <v>134</v>
      </c>
      <c r="B166" s="101" t="s">
        <v>18</v>
      </c>
      <c r="C166" s="102" t="s">
        <v>170</v>
      </c>
      <c r="D166" s="103" t="s">
        <v>19</v>
      </c>
      <c r="E166" s="104">
        <f t="shared" si="168"/>
        <v>847.8</v>
      </c>
      <c r="F166" s="105">
        <v>0</v>
      </c>
      <c r="G166" s="105">
        <f t="shared" si="159"/>
        <v>16.949152542372882</v>
      </c>
      <c r="H166" s="105">
        <v>20</v>
      </c>
      <c r="I166" s="105">
        <f t="shared" si="169"/>
        <v>0</v>
      </c>
      <c r="J166" s="104">
        <f>14.7+11</f>
        <v>25.7</v>
      </c>
      <c r="K166" s="105">
        <f t="shared" si="156"/>
        <v>12.711864406779661</v>
      </c>
      <c r="L166" s="105">
        <v>15</v>
      </c>
      <c r="M166" s="105">
        <f t="shared" si="170"/>
        <v>385.5</v>
      </c>
      <c r="N166" s="106">
        <v>424.7</v>
      </c>
      <c r="O166" s="105">
        <f t="shared" si="171"/>
        <v>6.6101694915254239</v>
      </c>
      <c r="P166" s="105">
        <v>7.8</v>
      </c>
      <c r="Q166" s="105">
        <f t="shared" si="172"/>
        <v>3312.66</v>
      </c>
      <c r="R166" s="104">
        <v>0</v>
      </c>
      <c r="S166" s="105">
        <f t="shared" si="173"/>
        <v>13.220338983050848</v>
      </c>
      <c r="T166" s="105">
        <v>15.6</v>
      </c>
      <c r="U166" s="105">
        <f t="shared" si="174"/>
        <v>0</v>
      </c>
      <c r="V166" s="105">
        <v>54.3</v>
      </c>
      <c r="W166" s="105">
        <f t="shared" ref="W166:W168" si="188">X166/1.18</f>
        <v>5.9322033898305087</v>
      </c>
      <c r="X166" s="105">
        <v>7</v>
      </c>
      <c r="Y166" s="105">
        <f t="shared" si="175"/>
        <v>380.09999999999997</v>
      </c>
      <c r="Z166" s="104">
        <f>235.2+50</f>
        <v>285.2</v>
      </c>
      <c r="AA166" s="105">
        <f t="shared" si="160"/>
        <v>5.5084745762711869</v>
      </c>
      <c r="AB166" s="105">
        <v>6.5</v>
      </c>
      <c r="AC166" s="105">
        <f t="shared" si="176"/>
        <v>1853.8</v>
      </c>
      <c r="AD166" s="105">
        <v>0</v>
      </c>
      <c r="AE166" s="105">
        <f t="shared" si="161"/>
        <v>4.2372881355932206</v>
      </c>
      <c r="AF166" s="105">
        <v>5</v>
      </c>
      <c r="AG166" s="105">
        <f t="shared" si="177"/>
        <v>0</v>
      </c>
      <c r="AH166" s="106">
        <v>42.4</v>
      </c>
      <c r="AI166" s="105">
        <f t="shared" si="162"/>
        <v>9.3220338983050848</v>
      </c>
      <c r="AJ166" s="105">
        <v>11</v>
      </c>
      <c r="AK166" s="105">
        <f t="shared" si="178"/>
        <v>466.4</v>
      </c>
      <c r="AL166" s="106">
        <v>15.5</v>
      </c>
      <c r="AM166" s="105">
        <f t="shared" si="179"/>
        <v>12.711864406779661</v>
      </c>
      <c r="AN166" s="105">
        <v>15</v>
      </c>
      <c r="AO166" s="105">
        <f t="shared" si="180"/>
        <v>232.5</v>
      </c>
      <c r="AP166" s="105">
        <f t="shared" si="166"/>
        <v>5619.4576271186434</v>
      </c>
      <c r="AQ166" s="105">
        <f t="shared" si="167"/>
        <v>6630.9599999999991</v>
      </c>
      <c r="AR166" s="106">
        <f>50+650</f>
        <v>700</v>
      </c>
      <c r="AS166" s="105" t="s">
        <v>312</v>
      </c>
      <c r="AT166" s="107">
        <v>0</v>
      </c>
      <c r="AU166" s="107">
        <f t="shared" ref="AU166:AU213" si="189">AV166/1.18</f>
        <v>5.0847457627118651</v>
      </c>
      <c r="AV166" s="107">
        <v>6</v>
      </c>
      <c r="AW166" s="107">
        <f t="shared" si="182"/>
        <v>3559.3220338983056</v>
      </c>
      <c r="AX166" s="107">
        <f>AV166*AR166</f>
        <v>4200</v>
      </c>
      <c r="AY166" s="108">
        <f t="shared" si="164"/>
        <v>9178.7796610169498</v>
      </c>
      <c r="AZ166" s="109">
        <f t="shared" si="164"/>
        <v>10830.96</v>
      </c>
      <c r="BA166" s="9"/>
      <c r="BB166" s="9"/>
      <c r="BC166" s="9"/>
      <c r="BD166" s="9"/>
      <c r="BE166" s="45"/>
      <c r="BF166" s="45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</row>
    <row r="167" spans="1:93" s="4" customFormat="1" ht="274.5" outlineLevel="1" x14ac:dyDescent="0.25">
      <c r="A167" s="100">
        <f>A166+1</f>
        <v>135</v>
      </c>
      <c r="B167" s="101" t="s">
        <v>18</v>
      </c>
      <c r="C167" s="102" t="s">
        <v>171</v>
      </c>
      <c r="D167" s="103" t="s">
        <v>19</v>
      </c>
      <c r="E167" s="104">
        <f t="shared" si="168"/>
        <v>752.80000000000007</v>
      </c>
      <c r="F167" s="105">
        <v>0</v>
      </c>
      <c r="G167" s="105">
        <f t="shared" si="159"/>
        <v>16.949152542372882</v>
      </c>
      <c r="H167" s="105">
        <v>20</v>
      </c>
      <c r="I167" s="105">
        <f t="shared" si="169"/>
        <v>0</v>
      </c>
      <c r="J167" s="104">
        <v>18</v>
      </c>
      <c r="K167" s="105">
        <f t="shared" si="156"/>
        <v>12.711864406779661</v>
      </c>
      <c r="L167" s="105">
        <v>15</v>
      </c>
      <c r="M167" s="105">
        <f t="shared" si="170"/>
        <v>270</v>
      </c>
      <c r="N167" s="106">
        <v>412.6</v>
      </c>
      <c r="O167" s="105">
        <f t="shared" si="171"/>
        <v>6.6101694915254239</v>
      </c>
      <c r="P167" s="105">
        <v>7.8</v>
      </c>
      <c r="Q167" s="105">
        <f t="shared" si="172"/>
        <v>3218.28</v>
      </c>
      <c r="R167" s="104">
        <v>0</v>
      </c>
      <c r="S167" s="105">
        <f t="shared" si="173"/>
        <v>13.220338983050848</v>
      </c>
      <c r="T167" s="105">
        <v>15.6</v>
      </c>
      <c r="U167" s="105">
        <f t="shared" si="174"/>
        <v>0</v>
      </c>
      <c r="V167" s="105">
        <v>32.5</v>
      </c>
      <c r="W167" s="105">
        <f t="shared" si="188"/>
        <v>5.9322033898305087</v>
      </c>
      <c r="X167" s="105">
        <v>7</v>
      </c>
      <c r="Y167" s="105">
        <f t="shared" si="175"/>
        <v>227.5</v>
      </c>
      <c r="Z167" s="104">
        <v>270.8</v>
      </c>
      <c r="AA167" s="105">
        <f t="shared" si="160"/>
        <v>5.5084745762711869</v>
      </c>
      <c r="AB167" s="105">
        <v>6.5</v>
      </c>
      <c r="AC167" s="105">
        <f t="shared" si="176"/>
        <v>1760.2</v>
      </c>
      <c r="AD167" s="105">
        <v>0</v>
      </c>
      <c r="AE167" s="105">
        <f t="shared" si="161"/>
        <v>4.2372881355932206</v>
      </c>
      <c r="AF167" s="105">
        <v>5</v>
      </c>
      <c r="AG167" s="105">
        <f t="shared" si="177"/>
        <v>0</v>
      </c>
      <c r="AH167" s="106">
        <v>8.4</v>
      </c>
      <c r="AI167" s="105">
        <f t="shared" si="162"/>
        <v>9.3220338983050848</v>
      </c>
      <c r="AJ167" s="105">
        <v>11</v>
      </c>
      <c r="AK167" s="105">
        <f t="shared" si="178"/>
        <v>92.4</v>
      </c>
      <c r="AL167" s="106">
        <v>10.5</v>
      </c>
      <c r="AM167" s="105">
        <f t="shared" si="179"/>
        <v>12.711864406779661</v>
      </c>
      <c r="AN167" s="105">
        <v>15</v>
      </c>
      <c r="AO167" s="105">
        <f t="shared" si="180"/>
        <v>157.5</v>
      </c>
      <c r="AP167" s="105">
        <f t="shared" si="166"/>
        <v>4852.4406779661022</v>
      </c>
      <c r="AQ167" s="105">
        <f t="shared" si="167"/>
        <v>5725.88</v>
      </c>
      <c r="AR167" s="106">
        <v>1990</v>
      </c>
      <c r="AS167" s="105" t="s">
        <v>312</v>
      </c>
      <c r="AT167" s="107">
        <v>0</v>
      </c>
      <c r="AU167" s="107">
        <f t="shared" si="189"/>
        <v>5.0847457627118651</v>
      </c>
      <c r="AV167" s="107">
        <v>6</v>
      </c>
      <c r="AW167" s="107">
        <f t="shared" si="182"/>
        <v>10118.644067796611</v>
      </c>
      <c r="AX167" s="107">
        <f t="shared" si="181"/>
        <v>11940</v>
      </c>
      <c r="AY167" s="108">
        <f t="shared" si="164"/>
        <v>14971.084745762713</v>
      </c>
      <c r="AZ167" s="109">
        <f t="shared" si="164"/>
        <v>17665.88</v>
      </c>
      <c r="BA167" s="9"/>
      <c r="BB167" s="9"/>
      <c r="BC167" s="9"/>
      <c r="BD167" s="9"/>
      <c r="BE167" s="45"/>
      <c r="BF167" s="45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</row>
    <row r="168" spans="1:93" s="4" customFormat="1" ht="320.25" outlineLevel="1" x14ac:dyDescent="0.25">
      <c r="A168" s="100">
        <f t="shared" ref="A168:A171" si="190">A167+1</f>
        <v>136</v>
      </c>
      <c r="B168" s="101" t="s">
        <v>18</v>
      </c>
      <c r="C168" s="102" t="s">
        <v>172</v>
      </c>
      <c r="D168" s="103" t="s">
        <v>19</v>
      </c>
      <c r="E168" s="104">
        <f t="shared" si="168"/>
        <v>346.70000000000005</v>
      </c>
      <c r="F168" s="105">
        <v>0</v>
      </c>
      <c r="G168" s="105">
        <f t="shared" si="159"/>
        <v>16.949152542372882</v>
      </c>
      <c r="H168" s="105">
        <v>20</v>
      </c>
      <c r="I168" s="105">
        <f t="shared" si="169"/>
        <v>0</v>
      </c>
      <c r="J168" s="104">
        <v>15</v>
      </c>
      <c r="K168" s="105">
        <f t="shared" si="156"/>
        <v>12.711864406779661</v>
      </c>
      <c r="L168" s="105">
        <v>15</v>
      </c>
      <c r="M168" s="105">
        <f t="shared" si="170"/>
        <v>225</v>
      </c>
      <c r="N168" s="106">
        <f>114.76+22.1</f>
        <v>136.86000000000001</v>
      </c>
      <c r="O168" s="105">
        <f t="shared" si="171"/>
        <v>6.6101694915254239</v>
      </c>
      <c r="P168" s="105">
        <v>7.8</v>
      </c>
      <c r="Q168" s="105">
        <f t="shared" si="172"/>
        <v>1067.508</v>
      </c>
      <c r="R168" s="104">
        <v>0</v>
      </c>
      <c r="S168" s="105">
        <f t="shared" si="173"/>
        <v>13.220338983050848</v>
      </c>
      <c r="T168" s="105">
        <v>15.6</v>
      </c>
      <c r="U168" s="105">
        <f t="shared" si="174"/>
        <v>0</v>
      </c>
      <c r="V168" s="105">
        <v>5</v>
      </c>
      <c r="W168" s="105">
        <f t="shared" si="188"/>
        <v>5.9322033898305087</v>
      </c>
      <c r="X168" s="105">
        <v>7</v>
      </c>
      <c r="Y168" s="105">
        <f t="shared" si="175"/>
        <v>35</v>
      </c>
      <c r="Z168" s="104">
        <f>34.2+105.5+24.24+11</f>
        <v>174.94</v>
      </c>
      <c r="AA168" s="105">
        <f t="shared" si="160"/>
        <v>5.5084745762711869</v>
      </c>
      <c r="AB168" s="105">
        <v>6.5</v>
      </c>
      <c r="AC168" s="105">
        <f t="shared" si="176"/>
        <v>1137.1099999999999</v>
      </c>
      <c r="AD168" s="105">
        <v>0</v>
      </c>
      <c r="AE168" s="105">
        <f t="shared" si="161"/>
        <v>4.2372881355932206</v>
      </c>
      <c r="AF168" s="105">
        <v>5</v>
      </c>
      <c r="AG168" s="105">
        <f t="shared" si="177"/>
        <v>0</v>
      </c>
      <c r="AH168" s="106">
        <v>8.8000000000000007</v>
      </c>
      <c r="AI168" s="105">
        <f t="shared" si="162"/>
        <v>9.3220338983050848</v>
      </c>
      <c r="AJ168" s="105">
        <v>11</v>
      </c>
      <c r="AK168" s="105">
        <f t="shared" si="178"/>
        <v>96.800000000000011</v>
      </c>
      <c r="AL168" s="106">
        <v>6.1</v>
      </c>
      <c r="AM168" s="105">
        <f t="shared" si="179"/>
        <v>12.711864406779661</v>
      </c>
      <c r="AN168" s="105">
        <v>15</v>
      </c>
      <c r="AO168" s="105">
        <f t="shared" si="180"/>
        <v>91.5</v>
      </c>
      <c r="AP168" s="105">
        <f t="shared" si="166"/>
        <v>2248.2355932203391</v>
      </c>
      <c r="AQ168" s="105">
        <f t="shared" si="167"/>
        <v>2652.9180000000001</v>
      </c>
      <c r="AR168" s="106">
        <v>246</v>
      </c>
      <c r="AS168" s="105" t="s">
        <v>312</v>
      </c>
      <c r="AT168" s="107">
        <v>0</v>
      </c>
      <c r="AU168" s="107">
        <f t="shared" si="189"/>
        <v>5.0847457627118651</v>
      </c>
      <c r="AV168" s="107">
        <v>6</v>
      </c>
      <c r="AW168" s="107">
        <f t="shared" si="182"/>
        <v>1250.8474576271187</v>
      </c>
      <c r="AX168" s="107">
        <f t="shared" si="181"/>
        <v>1476</v>
      </c>
      <c r="AY168" s="108">
        <f t="shared" si="164"/>
        <v>3499.0830508474578</v>
      </c>
      <c r="AZ168" s="109">
        <f t="shared" si="164"/>
        <v>4128.9179999999997</v>
      </c>
      <c r="BA168" s="9"/>
      <c r="BB168" s="9"/>
      <c r="BC168" s="9"/>
      <c r="BD168" s="9"/>
      <c r="BE168" s="45"/>
      <c r="BF168" s="45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</row>
    <row r="169" spans="1:93" s="4" customFormat="1" ht="274.5" outlineLevel="1" x14ac:dyDescent="0.25">
      <c r="A169" s="100">
        <f t="shared" si="190"/>
        <v>137</v>
      </c>
      <c r="B169" s="101" t="s">
        <v>255</v>
      </c>
      <c r="C169" s="102" t="s">
        <v>221</v>
      </c>
      <c r="D169" s="103" t="s">
        <v>19</v>
      </c>
      <c r="E169" s="104">
        <f t="shared" si="168"/>
        <v>2508.2999999999997</v>
      </c>
      <c r="F169" s="105">
        <v>0</v>
      </c>
      <c r="G169" s="105">
        <f t="shared" si="159"/>
        <v>16.949152542372882</v>
      </c>
      <c r="H169" s="105">
        <v>20</v>
      </c>
      <c r="I169" s="105">
        <f t="shared" si="169"/>
        <v>0</v>
      </c>
      <c r="J169" s="104">
        <f>206.8+55</f>
        <v>261.8</v>
      </c>
      <c r="K169" s="105">
        <f t="shared" si="156"/>
        <v>12.711864406779661</v>
      </c>
      <c r="L169" s="105">
        <v>15</v>
      </c>
      <c r="M169" s="105">
        <f t="shared" si="170"/>
        <v>3927</v>
      </c>
      <c r="N169" s="106">
        <f>268.5+562.3</f>
        <v>830.8</v>
      </c>
      <c r="O169" s="105">
        <f t="shared" si="171"/>
        <v>6.6101694915254239</v>
      </c>
      <c r="P169" s="105">
        <v>7.8</v>
      </c>
      <c r="Q169" s="105">
        <f t="shared" si="172"/>
        <v>6480.24</v>
      </c>
      <c r="R169" s="104">
        <v>0</v>
      </c>
      <c r="S169" s="105">
        <f t="shared" si="173"/>
        <v>13.220338983050848</v>
      </c>
      <c r="T169" s="105">
        <v>15.6</v>
      </c>
      <c r="U169" s="105">
        <f t="shared" si="174"/>
        <v>0</v>
      </c>
      <c r="V169" s="105">
        <f>137.1+125.9</f>
        <v>263</v>
      </c>
      <c r="W169" s="105">
        <v>4.2</v>
      </c>
      <c r="X169" s="105">
        <v>7</v>
      </c>
      <c r="Y169" s="105">
        <f t="shared" si="175"/>
        <v>1841</v>
      </c>
      <c r="Z169" s="104">
        <f>572.3+537</f>
        <v>1109.3</v>
      </c>
      <c r="AA169" s="105">
        <f t="shared" si="160"/>
        <v>5.5084745762711869</v>
      </c>
      <c r="AB169" s="105">
        <v>6.5</v>
      </c>
      <c r="AC169" s="105">
        <f t="shared" si="176"/>
        <v>7210.45</v>
      </c>
      <c r="AD169" s="105">
        <v>0</v>
      </c>
      <c r="AE169" s="105">
        <f t="shared" si="161"/>
        <v>4.2372881355932206</v>
      </c>
      <c r="AF169" s="105">
        <v>5</v>
      </c>
      <c r="AG169" s="105">
        <f t="shared" si="177"/>
        <v>0</v>
      </c>
      <c r="AH169" s="106">
        <v>18</v>
      </c>
      <c r="AI169" s="105">
        <f t="shared" si="162"/>
        <v>9.3220338983050848</v>
      </c>
      <c r="AJ169" s="105">
        <v>11</v>
      </c>
      <c r="AK169" s="105">
        <f t="shared" si="178"/>
        <v>198</v>
      </c>
      <c r="AL169" s="106">
        <v>25.4</v>
      </c>
      <c r="AM169" s="105">
        <f t="shared" si="179"/>
        <v>12.711864406779661</v>
      </c>
      <c r="AN169" s="105">
        <v>15</v>
      </c>
      <c r="AO169" s="105">
        <f t="shared" si="180"/>
        <v>381</v>
      </c>
      <c r="AP169" s="105">
        <f t="shared" si="166"/>
        <v>16981.093220338982</v>
      </c>
      <c r="AQ169" s="105">
        <f t="shared" si="167"/>
        <v>20037.689999999999</v>
      </c>
      <c r="AR169" s="106">
        <v>615</v>
      </c>
      <c r="AS169" s="105" t="s">
        <v>312</v>
      </c>
      <c r="AT169" s="107">
        <v>0</v>
      </c>
      <c r="AU169" s="107">
        <f t="shared" si="189"/>
        <v>5.0847457627118651</v>
      </c>
      <c r="AV169" s="107">
        <v>6</v>
      </c>
      <c r="AW169" s="107">
        <f t="shared" si="182"/>
        <v>3127.118644067797</v>
      </c>
      <c r="AX169" s="107">
        <f t="shared" si="181"/>
        <v>3690</v>
      </c>
      <c r="AY169" s="108">
        <f t="shared" si="164"/>
        <v>20108.211864406778</v>
      </c>
      <c r="AZ169" s="109">
        <f t="shared" si="164"/>
        <v>23727.69</v>
      </c>
      <c r="BA169" s="9"/>
      <c r="BB169" s="9"/>
      <c r="BC169" s="9"/>
      <c r="BD169" s="9"/>
      <c r="BE169" s="45"/>
      <c r="BF169" s="45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</row>
    <row r="170" spans="1:93" s="4" customFormat="1" ht="274.5" outlineLevel="1" x14ac:dyDescent="0.25">
      <c r="A170" s="100">
        <f t="shared" si="190"/>
        <v>138</v>
      </c>
      <c r="B170" s="101" t="s">
        <v>255</v>
      </c>
      <c r="C170" s="102" t="s">
        <v>173</v>
      </c>
      <c r="D170" s="103" t="s">
        <v>19</v>
      </c>
      <c r="E170" s="104">
        <f t="shared" si="168"/>
        <v>559.1</v>
      </c>
      <c r="F170" s="105">
        <v>0</v>
      </c>
      <c r="G170" s="105">
        <f t="shared" si="159"/>
        <v>16.949152542372882</v>
      </c>
      <c r="H170" s="105">
        <v>20</v>
      </c>
      <c r="I170" s="105">
        <f t="shared" si="169"/>
        <v>0</v>
      </c>
      <c r="J170" s="104">
        <v>65.400000000000006</v>
      </c>
      <c r="K170" s="105">
        <f t="shared" si="156"/>
        <v>12.711864406779661</v>
      </c>
      <c r="L170" s="105">
        <v>15</v>
      </c>
      <c r="M170" s="105">
        <f t="shared" si="170"/>
        <v>981.00000000000011</v>
      </c>
      <c r="N170" s="106">
        <v>268.5</v>
      </c>
      <c r="O170" s="105">
        <f t="shared" si="171"/>
        <v>6.6101694915254239</v>
      </c>
      <c r="P170" s="105">
        <v>7.8</v>
      </c>
      <c r="Q170" s="105">
        <f t="shared" si="172"/>
        <v>2094.2999999999997</v>
      </c>
      <c r="R170" s="104">
        <v>0</v>
      </c>
      <c r="S170" s="105">
        <f t="shared" si="173"/>
        <v>13.220338983050848</v>
      </c>
      <c r="T170" s="105">
        <v>15.6</v>
      </c>
      <c r="U170" s="105">
        <f t="shared" si="174"/>
        <v>0</v>
      </c>
      <c r="V170" s="105">
        <v>29.2</v>
      </c>
      <c r="W170" s="105">
        <f t="shared" ref="W170:W171" si="191">X170/1.18</f>
        <v>5.9322033898305087</v>
      </c>
      <c r="X170" s="105">
        <v>7</v>
      </c>
      <c r="Y170" s="105">
        <f t="shared" si="175"/>
        <v>204.4</v>
      </c>
      <c r="Z170" s="104">
        <v>172.4</v>
      </c>
      <c r="AA170" s="105">
        <f t="shared" si="160"/>
        <v>5.5084745762711869</v>
      </c>
      <c r="AB170" s="105">
        <v>6.5</v>
      </c>
      <c r="AC170" s="105">
        <f t="shared" si="176"/>
        <v>1120.6000000000001</v>
      </c>
      <c r="AD170" s="105">
        <v>0</v>
      </c>
      <c r="AE170" s="105">
        <f t="shared" si="161"/>
        <v>4.2372881355932206</v>
      </c>
      <c r="AF170" s="105">
        <v>5</v>
      </c>
      <c r="AG170" s="105">
        <f t="shared" si="177"/>
        <v>0</v>
      </c>
      <c r="AH170" s="106">
        <v>9.1</v>
      </c>
      <c r="AI170" s="105">
        <f t="shared" si="162"/>
        <v>9.3220338983050848</v>
      </c>
      <c r="AJ170" s="105">
        <v>11</v>
      </c>
      <c r="AK170" s="105">
        <f t="shared" si="178"/>
        <v>100.1</v>
      </c>
      <c r="AL170" s="106">
        <v>14.5</v>
      </c>
      <c r="AM170" s="105">
        <f t="shared" si="179"/>
        <v>12.711864406779661</v>
      </c>
      <c r="AN170" s="105">
        <v>15</v>
      </c>
      <c r="AO170" s="105">
        <f t="shared" si="180"/>
        <v>217.5</v>
      </c>
      <c r="AP170" s="105">
        <f t="shared" si="166"/>
        <v>3998.2203389830515</v>
      </c>
      <c r="AQ170" s="105">
        <f t="shared" si="167"/>
        <v>4717.9000000000005</v>
      </c>
      <c r="AR170" s="106">
        <v>960</v>
      </c>
      <c r="AS170" s="105" t="s">
        <v>312</v>
      </c>
      <c r="AT170" s="107">
        <v>0</v>
      </c>
      <c r="AU170" s="107">
        <f t="shared" si="189"/>
        <v>5.0847457627118651</v>
      </c>
      <c r="AV170" s="107">
        <v>6</v>
      </c>
      <c r="AW170" s="107">
        <f t="shared" si="182"/>
        <v>4881.3559322033907</v>
      </c>
      <c r="AX170" s="107">
        <f t="shared" si="181"/>
        <v>5760</v>
      </c>
      <c r="AY170" s="108">
        <f t="shared" si="164"/>
        <v>8879.5762711864427</v>
      </c>
      <c r="AZ170" s="109">
        <f t="shared" si="164"/>
        <v>10477.900000000001</v>
      </c>
      <c r="BA170" s="9"/>
      <c r="BB170" s="9"/>
      <c r="BC170" s="9"/>
      <c r="BD170" s="9"/>
      <c r="BE170" s="45"/>
      <c r="BF170" s="45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</row>
    <row r="171" spans="1:93" s="4" customFormat="1" ht="274.5" outlineLevel="1" x14ac:dyDescent="0.25">
      <c r="A171" s="100">
        <f t="shared" si="190"/>
        <v>139</v>
      </c>
      <c r="B171" s="101" t="s">
        <v>255</v>
      </c>
      <c r="C171" s="102" t="s">
        <v>174</v>
      </c>
      <c r="D171" s="103" t="s">
        <v>19</v>
      </c>
      <c r="E171" s="104">
        <f t="shared" si="168"/>
        <v>3123.9</v>
      </c>
      <c r="F171" s="105">
        <v>0</v>
      </c>
      <c r="G171" s="105">
        <f t="shared" si="159"/>
        <v>16.949152542372882</v>
      </c>
      <c r="H171" s="105">
        <v>20</v>
      </c>
      <c r="I171" s="105">
        <f t="shared" si="169"/>
        <v>0</v>
      </c>
      <c r="J171" s="104">
        <v>740</v>
      </c>
      <c r="K171" s="105">
        <f t="shared" si="156"/>
        <v>12.711864406779661</v>
      </c>
      <c r="L171" s="105">
        <v>15</v>
      </c>
      <c r="M171" s="105">
        <f t="shared" si="170"/>
        <v>11100</v>
      </c>
      <c r="N171" s="106">
        <f>1041-115+42.5</f>
        <v>968.5</v>
      </c>
      <c r="O171" s="105">
        <f t="shared" si="171"/>
        <v>6.6101694915254239</v>
      </c>
      <c r="P171" s="105">
        <v>7.8</v>
      </c>
      <c r="Q171" s="105">
        <f t="shared" si="172"/>
        <v>7554.3</v>
      </c>
      <c r="R171" s="104">
        <v>0</v>
      </c>
      <c r="S171" s="105">
        <f t="shared" si="173"/>
        <v>13.220338983050848</v>
      </c>
      <c r="T171" s="105">
        <v>15.6</v>
      </c>
      <c r="U171" s="105">
        <f t="shared" si="174"/>
        <v>0</v>
      </c>
      <c r="V171" s="105">
        <v>139</v>
      </c>
      <c r="W171" s="105">
        <f t="shared" si="191"/>
        <v>5.9322033898305087</v>
      </c>
      <c r="X171" s="105">
        <v>7</v>
      </c>
      <c r="Y171" s="105">
        <f t="shared" si="175"/>
        <v>973</v>
      </c>
      <c r="Z171" s="104">
        <v>1115</v>
      </c>
      <c r="AA171" s="124">
        <f t="shared" si="160"/>
        <v>5.5084745762711869</v>
      </c>
      <c r="AB171" s="124">
        <v>6.5</v>
      </c>
      <c r="AC171" s="124">
        <f t="shared" si="176"/>
        <v>7247.5</v>
      </c>
      <c r="AD171" s="105">
        <v>0</v>
      </c>
      <c r="AE171" s="105">
        <f t="shared" si="161"/>
        <v>4.2372881355932206</v>
      </c>
      <c r="AF171" s="105">
        <v>5</v>
      </c>
      <c r="AG171" s="105">
        <f t="shared" si="177"/>
        <v>0</v>
      </c>
      <c r="AH171" s="106">
        <v>44.3</v>
      </c>
      <c r="AI171" s="105">
        <f t="shared" si="162"/>
        <v>9.3220338983050848</v>
      </c>
      <c r="AJ171" s="105">
        <v>11</v>
      </c>
      <c r="AK171" s="105">
        <f t="shared" si="178"/>
        <v>487.29999999999995</v>
      </c>
      <c r="AL171" s="106">
        <f>3.8+75.8+16.7+20.8</f>
        <v>117.1</v>
      </c>
      <c r="AM171" s="105">
        <f t="shared" si="179"/>
        <v>12.711864406779661</v>
      </c>
      <c r="AN171" s="105">
        <v>15</v>
      </c>
      <c r="AO171" s="105">
        <f t="shared" si="180"/>
        <v>1756.5</v>
      </c>
      <c r="AP171" s="105">
        <f t="shared" si="166"/>
        <v>24676.77966101695</v>
      </c>
      <c r="AQ171" s="105">
        <f t="shared" si="167"/>
        <v>29118.6</v>
      </c>
      <c r="AR171" s="106">
        <f>20.8+247.2+3384.7</f>
        <v>3652.7</v>
      </c>
      <c r="AS171" s="105" t="s">
        <v>312</v>
      </c>
      <c r="AT171" s="107">
        <v>0</v>
      </c>
      <c r="AU171" s="107">
        <f t="shared" si="189"/>
        <v>5.0847457627118651</v>
      </c>
      <c r="AV171" s="107">
        <v>6</v>
      </c>
      <c r="AW171" s="107">
        <f t="shared" si="182"/>
        <v>18573.050847457627</v>
      </c>
      <c r="AX171" s="107">
        <f t="shared" si="181"/>
        <v>21916.199999999997</v>
      </c>
      <c r="AY171" s="108">
        <f t="shared" si="164"/>
        <v>43249.830508474581</v>
      </c>
      <c r="AZ171" s="109">
        <f t="shared" si="164"/>
        <v>51034.799999999996</v>
      </c>
      <c r="BA171" s="9"/>
      <c r="BB171" s="9"/>
      <c r="BC171" s="9"/>
      <c r="BD171" s="9"/>
      <c r="BE171" s="45"/>
      <c r="BF171" s="45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</row>
    <row r="172" spans="1:93" s="4" customFormat="1" ht="45.75" outlineLevel="1" x14ac:dyDescent="0.25">
      <c r="A172" s="151" t="s">
        <v>228</v>
      </c>
      <c r="B172" s="152"/>
      <c r="C172" s="152"/>
      <c r="D172" s="110"/>
      <c r="E172" s="104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1"/>
      <c r="AC172" s="110"/>
      <c r="AD172" s="110"/>
      <c r="AE172" s="110"/>
      <c r="AF172" s="110"/>
      <c r="AG172" s="110"/>
      <c r="AH172" s="110"/>
      <c r="AI172" s="110"/>
      <c r="AJ172" s="110"/>
      <c r="AK172" s="110"/>
      <c r="AL172" s="110"/>
      <c r="AM172" s="110"/>
      <c r="AN172" s="110"/>
      <c r="AO172" s="110"/>
      <c r="AP172" s="111"/>
      <c r="AQ172" s="128"/>
      <c r="AR172" s="110"/>
      <c r="AS172" s="105"/>
      <c r="AT172" s="110"/>
      <c r="AU172" s="110"/>
      <c r="AV172" s="110"/>
      <c r="AW172" s="110"/>
      <c r="AX172" s="110"/>
      <c r="AY172" s="111"/>
      <c r="AZ172" s="130"/>
      <c r="BA172" s="9"/>
      <c r="BB172" s="9"/>
      <c r="BC172" s="9"/>
      <c r="BD172" s="9"/>
      <c r="BE172" s="45"/>
      <c r="BF172" s="45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</row>
    <row r="173" spans="1:93" s="4" customFormat="1" ht="228.75" outlineLevel="1" x14ac:dyDescent="0.25">
      <c r="A173" s="100">
        <f>A171+1</f>
        <v>140</v>
      </c>
      <c r="B173" s="101" t="s">
        <v>252</v>
      </c>
      <c r="C173" s="102" t="s">
        <v>179</v>
      </c>
      <c r="D173" s="103" t="s">
        <v>19</v>
      </c>
      <c r="E173" s="104">
        <f t="shared" si="168"/>
        <v>2240.8000000000002</v>
      </c>
      <c r="F173" s="105">
        <v>0</v>
      </c>
      <c r="G173" s="105">
        <f>H173/1.18</f>
        <v>16.949152542372882</v>
      </c>
      <c r="H173" s="105">
        <v>20</v>
      </c>
      <c r="I173" s="105">
        <f>H173*F173</f>
        <v>0</v>
      </c>
      <c r="J173" s="104">
        <v>275.8</v>
      </c>
      <c r="K173" s="105">
        <f>L173/1.18</f>
        <v>12.711864406779661</v>
      </c>
      <c r="L173" s="105">
        <v>15</v>
      </c>
      <c r="M173" s="105">
        <f>L173*J173</f>
        <v>4137</v>
      </c>
      <c r="N173" s="106">
        <v>585</v>
      </c>
      <c r="O173" s="105">
        <f>P173/1.18</f>
        <v>6.6101694915254239</v>
      </c>
      <c r="P173" s="105">
        <v>7.8</v>
      </c>
      <c r="Q173" s="105">
        <f>P173*N173</f>
        <v>4563</v>
      </c>
      <c r="R173" s="104">
        <v>0</v>
      </c>
      <c r="S173" s="105">
        <f>T173/1.18</f>
        <v>13.220338983050848</v>
      </c>
      <c r="T173" s="105">
        <v>15.6</v>
      </c>
      <c r="U173" s="105">
        <f>T173*R173</f>
        <v>0</v>
      </c>
      <c r="V173" s="105">
        <v>200.2</v>
      </c>
      <c r="W173" s="105">
        <f>X173/1.18</f>
        <v>5.9322033898305087</v>
      </c>
      <c r="X173" s="105">
        <v>7</v>
      </c>
      <c r="Y173" s="105">
        <f>X173*V173</f>
        <v>1401.3999999999999</v>
      </c>
      <c r="Z173" s="104">
        <v>771.2</v>
      </c>
      <c r="AA173" s="105">
        <f t="shared" ref="AA173:AA177" si="192">AB173/1.18</f>
        <v>5.5084745762711869</v>
      </c>
      <c r="AB173" s="105">
        <v>6.5</v>
      </c>
      <c r="AC173" s="105">
        <f>AB173*Z173</f>
        <v>5012.8</v>
      </c>
      <c r="AD173" s="105">
        <v>0</v>
      </c>
      <c r="AE173" s="105">
        <f t="shared" ref="AE173:AE177" si="193">AF173/1.18</f>
        <v>4.2372881355932206</v>
      </c>
      <c r="AF173" s="105">
        <v>5</v>
      </c>
      <c r="AG173" s="105">
        <f>AF173*AD173</f>
        <v>0</v>
      </c>
      <c r="AH173" s="106">
        <v>367.6</v>
      </c>
      <c r="AI173" s="105">
        <f t="shared" ref="AI173:AI177" si="194">AJ173/1.18</f>
        <v>9.3220338983050848</v>
      </c>
      <c r="AJ173" s="105">
        <v>11</v>
      </c>
      <c r="AK173" s="105">
        <f>AJ173*AH173</f>
        <v>4043.6000000000004</v>
      </c>
      <c r="AL173" s="106">
        <v>41</v>
      </c>
      <c r="AM173" s="105">
        <f>AN173/1.18</f>
        <v>12.711864406779661</v>
      </c>
      <c r="AN173" s="105">
        <v>15</v>
      </c>
      <c r="AO173" s="105">
        <f>AN173*AL173</f>
        <v>615</v>
      </c>
      <c r="AP173" s="105">
        <f t="shared" si="166"/>
        <v>16756.610169491531</v>
      </c>
      <c r="AQ173" s="105">
        <f t="shared" si="167"/>
        <v>19772.800000000003</v>
      </c>
      <c r="AR173" s="106">
        <f>696+160</f>
        <v>856</v>
      </c>
      <c r="AS173" s="105" t="s">
        <v>312</v>
      </c>
      <c r="AT173" s="107">
        <v>0</v>
      </c>
      <c r="AU173" s="107">
        <f t="shared" ref="AU173:AU185" si="195">AV173/1.18</f>
        <v>5.0847457627118651</v>
      </c>
      <c r="AV173" s="107">
        <v>6</v>
      </c>
      <c r="AW173" s="107">
        <f>AU173*AR173</f>
        <v>4352.5423728813566</v>
      </c>
      <c r="AX173" s="107">
        <f>AV173*AR173</f>
        <v>5136</v>
      </c>
      <c r="AY173" s="108">
        <f t="shared" si="164"/>
        <v>21109.152542372889</v>
      </c>
      <c r="AZ173" s="109">
        <f t="shared" si="164"/>
        <v>24908.800000000003</v>
      </c>
      <c r="BA173" s="9"/>
      <c r="BB173" s="9"/>
      <c r="BC173" s="9"/>
      <c r="BD173" s="9"/>
      <c r="BE173" s="45"/>
      <c r="BF173" s="45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</row>
    <row r="174" spans="1:93" s="4" customFormat="1" ht="228.75" outlineLevel="1" x14ac:dyDescent="0.25">
      <c r="A174" s="100">
        <f>A173+1</f>
        <v>141</v>
      </c>
      <c r="B174" s="101" t="s">
        <v>18</v>
      </c>
      <c r="C174" s="102" t="s">
        <v>180</v>
      </c>
      <c r="D174" s="103" t="s">
        <v>19</v>
      </c>
      <c r="E174" s="104">
        <f t="shared" si="168"/>
        <v>496.69999999999993</v>
      </c>
      <c r="F174" s="105">
        <v>0</v>
      </c>
      <c r="G174" s="105">
        <f>H174/1.18</f>
        <v>16.949152542372882</v>
      </c>
      <c r="H174" s="105">
        <v>20</v>
      </c>
      <c r="I174" s="105">
        <f>H174*F174</f>
        <v>0</v>
      </c>
      <c r="J174" s="104">
        <v>44.8</v>
      </c>
      <c r="K174" s="105">
        <f>L174/1.18</f>
        <v>12.711864406779661</v>
      </c>
      <c r="L174" s="105">
        <v>15</v>
      </c>
      <c r="M174" s="105">
        <f>L174*J174</f>
        <v>672</v>
      </c>
      <c r="N174" s="106">
        <f>135.7</f>
        <v>135.69999999999999</v>
      </c>
      <c r="O174" s="105">
        <f>P174/1.18</f>
        <v>6.6101694915254239</v>
      </c>
      <c r="P174" s="105">
        <v>7.8</v>
      </c>
      <c r="Q174" s="105">
        <f>P174*N174</f>
        <v>1058.4599999999998</v>
      </c>
      <c r="R174" s="104">
        <v>0</v>
      </c>
      <c r="S174" s="105">
        <f>T174/1.18</f>
        <v>13.220338983050848</v>
      </c>
      <c r="T174" s="105">
        <v>15.6</v>
      </c>
      <c r="U174" s="105">
        <f>T174*R174</f>
        <v>0</v>
      </c>
      <c r="V174" s="105">
        <v>0</v>
      </c>
      <c r="W174" s="105">
        <f>X174/1.18</f>
        <v>5.9322033898305087</v>
      </c>
      <c r="X174" s="105">
        <v>7</v>
      </c>
      <c r="Y174" s="105">
        <f>X174*V174</f>
        <v>0</v>
      </c>
      <c r="Z174" s="104">
        <f>61+2.3+6.1+19.4+188</f>
        <v>276.79999999999995</v>
      </c>
      <c r="AA174" s="105">
        <f t="shared" si="192"/>
        <v>5.5084745762711869</v>
      </c>
      <c r="AB174" s="105">
        <v>6.5</v>
      </c>
      <c r="AC174" s="105">
        <f>AB174*Z174</f>
        <v>1799.1999999999998</v>
      </c>
      <c r="AD174" s="105">
        <v>0</v>
      </c>
      <c r="AE174" s="105">
        <f t="shared" si="193"/>
        <v>4.2372881355932206</v>
      </c>
      <c r="AF174" s="105">
        <v>5</v>
      </c>
      <c r="AG174" s="105">
        <f>AF174*AD174</f>
        <v>0</v>
      </c>
      <c r="AH174" s="106">
        <f>35.2</f>
        <v>35.200000000000003</v>
      </c>
      <c r="AI174" s="105">
        <f t="shared" si="194"/>
        <v>9.3220338983050848</v>
      </c>
      <c r="AJ174" s="105">
        <v>11</v>
      </c>
      <c r="AK174" s="105">
        <f>AJ174*AH174</f>
        <v>387.20000000000005</v>
      </c>
      <c r="AL174" s="106">
        <v>4.2</v>
      </c>
      <c r="AM174" s="105">
        <f>AN174/1.18</f>
        <v>12.711864406779661</v>
      </c>
      <c r="AN174" s="105">
        <v>15</v>
      </c>
      <c r="AO174" s="105">
        <f>AN174*AL174</f>
        <v>63</v>
      </c>
      <c r="AP174" s="105">
        <f t="shared" si="166"/>
        <v>3372.7627118644068</v>
      </c>
      <c r="AQ174" s="105">
        <f t="shared" si="167"/>
        <v>3979.8599999999997</v>
      </c>
      <c r="AR174" s="106">
        <v>1010</v>
      </c>
      <c r="AS174" s="105" t="s">
        <v>312</v>
      </c>
      <c r="AT174" s="107">
        <v>0</v>
      </c>
      <c r="AU174" s="107">
        <f t="shared" si="195"/>
        <v>5.0847457627118651</v>
      </c>
      <c r="AV174" s="107">
        <v>6</v>
      </c>
      <c r="AW174" s="107">
        <f>AU174*AR174</f>
        <v>5135.5932203389839</v>
      </c>
      <c r="AX174" s="107">
        <f>AV174*AR174</f>
        <v>6060</v>
      </c>
      <c r="AY174" s="108">
        <f t="shared" si="164"/>
        <v>8508.3559322033907</v>
      </c>
      <c r="AZ174" s="109">
        <f t="shared" si="164"/>
        <v>10039.86</v>
      </c>
      <c r="BA174" s="9"/>
      <c r="BB174" s="9"/>
      <c r="BC174" s="9"/>
      <c r="BD174" s="9"/>
      <c r="BE174" s="45"/>
      <c r="BF174" s="45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</row>
    <row r="175" spans="1:93" s="62" customFormat="1" ht="274.5" outlineLevel="1" x14ac:dyDescent="0.25">
      <c r="A175" s="100">
        <f>A174+1</f>
        <v>142</v>
      </c>
      <c r="B175" s="101" t="s">
        <v>18</v>
      </c>
      <c r="C175" s="102" t="s">
        <v>181</v>
      </c>
      <c r="D175" s="103" t="s">
        <v>19</v>
      </c>
      <c r="E175" s="104">
        <f t="shared" si="168"/>
        <v>675.2</v>
      </c>
      <c r="F175" s="105">
        <v>0</v>
      </c>
      <c r="G175" s="105">
        <f>H175/1.18</f>
        <v>16.949152542372882</v>
      </c>
      <c r="H175" s="105">
        <v>20</v>
      </c>
      <c r="I175" s="105">
        <f>H175*F175</f>
        <v>0</v>
      </c>
      <c r="J175" s="104">
        <f>41.4+11.1+62</f>
        <v>114.5</v>
      </c>
      <c r="K175" s="105">
        <f>L175/1.18</f>
        <v>12.711864406779661</v>
      </c>
      <c r="L175" s="105">
        <v>15</v>
      </c>
      <c r="M175" s="105">
        <f>L175*J175</f>
        <v>1717.5</v>
      </c>
      <c r="N175" s="106">
        <f>205.7+23.1+55.1</f>
        <v>283.89999999999998</v>
      </c>
      <c r="O175" s="105">
        <f>P175/1.18</f>
        <v>6.6101694915254239</v>
      </c>
      <c r="P175" s="105">
        <v>7.8</v>
      </c>
      <c r="Q175" s="105">
        <f>P175*N175</f>
        <v>2214.4199999999996</v>
      </c>
      <c r="R175" s="104">
        <v>0</v>
      </c>
      <c r="S175" s="105">
        <f>T175/1.18</f>
        <v>13.220338983050848</v>
      </c>
      <c r="T175" s="105">
        <v>15.6</v>
      </c>
      <c r="U175" s="105">
        <f>T175*R175</f>
        <v>0</v>
      </c>
      <c r="V175" s="105">
        <v>27.1</v>
      </c>
      <c r="W175" s="105">
        <f t="shared" ref="W175:W177" si="196">X175/1.18</f>
        <v>5.9322033898305087</v>
      </c>
      <c r="X175" s="105">
        <v>7</v>
      </c>
      <c r="Y175" s="105">
        <f>X175*V175</f>
        <v>189.70000000000002</v>
      </c>
      <c r="Z175" s="104">
        <f>35.7+8.6+40.3+65.2+9.3</f>
        <v>159.10000000000002</v>
      </c>
      <c r="AA175" s="105">
        <f t="shared" si="192"/>
        <v>5.5084745762711869</v>
      </c>
      <c r="AB175" s="105">
        <v>6.5</v>
      </c>
      <c r="AC175" s="105">
        <f>AB175*Z175</f>
        <v>1034.1500000000001</v>
      </c>
      <c r="AD175" s="105">
        <v>0</v>
      </c>
      <c r="AE175" s="105">
        <f t="shared" si="193"/>
        <v>4.2372881355932206</v>
      </c>
      <c r="AF175" s="105">
        <v>5</v>
      </c>
      <c r="AG175" s="105">
        <f>AF175*AD175</f>
        <v>0</v>
      </c>
      <c r="AH175" s="106">
        <f>55.1+27</f>
        <v>82.1</v>
      </c>
      <c r="AI175" s="105">
        <f t="shared" si="194"/>
        <v>9.3220338983050848</v>
      </c>
      <c r="AJ175" s="105">
        <v>11</v>
      </c>
      <c r="AK175" s="105">
        <f>AJ175*AH175</f>
        <v>903.09999999999991</v>
      </c>
      <c r="AL175" s="106">
        <v>8.5</v>
      </c>
      <c r="AM175" s="105">
        <f>AN175/1.18</f>
        <v>12.711864406779661</v>
      </c>
      <c r="AN175" s="105">
        <v>15</v>
      </c>
      <c r="AO175" s="105">
        <f>AN175*AL175</f>
        <v>127.5</v>
      </c>
      <c r="AP175" s="105">
        <f t="shared" si="166"/>
        <v>5242.6864406779669</v>
      </c>
      <c r="AQ175" s="105">
        <f t="shared" si="167"/>
        <v>6186.3700000000008</v>
      </c>
      <c r="AR175" s="106">
        <f>2166+1500</f>
        <v>3666</v>
      </c>
      <c r="AS175" s="105" t="s">
        <v>312</v>
      </c>
      <c r="AT175" s="107">
        <v>0</v>
      </c>
      <c r="AU175" s="107">
        <f t="shared" si="195"/>
        <v>5.0847457627118651</v>
      </c>
      <c r="AV175" s="107">
        <v>6</v>
      </c>
      <c r="AW175" s="107">
        <f>AU175*AR175</f>
        <v>18640.677966101699</v>
      </c>
      <c r="AX175" s="107">
        <f>AV175*AR175</f>
        <v>21996</v>
      </c>
      <c r="AY175" s="108">
        <f t="shared" si="164"/>
        <v>23883.364406779667</v>
      </c>
      <c r="AZ175" s="109">
        <f t="shared" si="164"/>
        <v>28182.370000000003</v>
      </c>
      <c r="BA175" s="60"/>
      <c r="BB175" s="9"/>
      <c r="BC175" s="9"/>
      <c r="BD175" s="9"/>
      <c r="BE175" s="45"/>
      <c r="BF175" s="45"/>
      <c r="BG175" s="61"/>
      <c r="BH175" s="61"/>
      <c r="BI175" s="61"/>
      <c r="BJ175" s="61"/>
      <c r="BK175" s="61"/>
      <c r="BL175" s="61"/>
      <c r="BM175" s="61"/>
      <c r="BN175" s="61"/>
      <c r="BO175" s="61"/>
      <c r="BP175" s="61"/>
      <c r="BQ175" s="61"/>
      <c r="BR175" s="61"/>
      <c r="BS175" s="61"/>
      <c r="BT175" s="61"/>
      <c r="BU175" s="61"/>
      <c r="BV175" s="61"/>
      <c r="BW175" s="61"/>
      <c r="BX175" s="61"/>
      <c r="BY175" s="61"/>
      <c r="BZ175" s="61"/>
      <c r="CA175" s="61"/>
      <c r="CB175" s="61"/>
      <c r="CC175" s="61"/>
      <c r="CD175" s="61"/>
      <c r="CE175" s="61"/>
      <c r="CF175" s="61"/>
      <c r="CG175" s="61"/>
      <c r="CH175" s="61"/>
      <c r="CI175" s="61"/>
      <c r="CJ175" s="61"/>
      <c r="CK175" s="61"/>
      <c r="CL175" s="61"/>
      <c r="CM175" s="61"/>
      <c r="CN175" s="61"/>
      <c r="CO175" s="61"/>
    </row>
    <row r="176" spans="1:93" s="68" customFormat="1" ht="183" outlineLevel="1" x14ac:dyDescent="0.25">
      <c r="A176" s="151" t="s">
        <v>236</v>
      </c>
      <c r="B176" s="152"/>
      <c r="C176" s="152"/>
      <c r="D176" s="110"/>
      <c r="E176" s="104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05"/>
      <c r="AQ176" s="105"/>
      <c r="AR176" s="110"/>
      <c r="AS176" s="105" t="s">
        <v>312</v>
      </c>
      <c r="AT176" s="110"/>
      <c r="AU176" s="110"/>
      <c r="AV176" s="110"/>
      <c r="AW176" s="110"/>
      <c r="AX176" s="110"/>
      <c r="AY176" s="108"/>
      <c r="AZ176" s="109"/>
      <c r="BA176" s="71"/>
      <c r="BB176" s="38"/>
      <c r="BC176" s="38"/>
      <c r="BD176" s="38"/>
      <c r="BE176" s="38"/>
      <c r="BF176" s="38"/>
      <c r="BG176" s="74"/>
    </row>
    <row r="177" spans="1:93" s="4" customFormat="1" ht="274.5" outlineLevel="1" x14ac:dyDescent="0.25">
      <c r="A177" s="137">
        <f>A175+1</f>
        <v>143</v>
      </c>
      <c r="B177" s="138" t="s">
        <v>18</v>
      </c>
      <c r="C177" s="138" t="s">
        <v>282</v>
      </c>
      <c r="D177" s="139"/>
      <c r="E177" s="104">
        <f t="shared" si="168"/>
        <v>340.8</v>
      </c>
      <c r="F177" s="105">
        <v>0</v>
      </c>
      <c r="G177" s="105">
        <f t="shared" ref="G177" si="197">H177/1.18</f>
        <v>16.949152542372882</v>
      </c>
      <c r="H177" s="105">
        <v>20</v>
      </c>
      <c r="I177" s="105">
        <f>H177*F177</f>
        <v>0</v>
      </c>
      <c r="J177" s="104">
        <v>0</v>
      </c>
      <c r="K177" s="116">
        <f t="shared" ref="K177" si="198">L177/1.18</f>
        <v>12.711864406779661</v>
      </c>
      <c r="L177" s="116">
        <v>15</v>
      </c>
      <c r="M177" s="105">
        <f t="shared" si="170"/>
        <v>0</v>
      </c>
      <c r="N177" s="106">
        <v>340.8</v>
      </c>
      <c r="O177" s="116">
        <f>P177/1.18</f>
        <v>6.6101694915254239</v>
      </c>
      <c r="P177" s="116">
        <v>7.8</v>
      </c>
      <c r="Q177" s="105">
        <f t="shared" si="172"/>
        <v>2658.2400000000002</v>
      </c>
      <c r="R177" s="104">
        <v>0</v>
      </c>
      <c r="S177" s="124">
        <f>T177/1.18</f>
        <v>13.220338983050848</v>
      </c>
      <c r="T177" s="105">
        <v>15.6</v>
      </c>
      <c r="U177" s="124">
        <f>T177*R177</f>
        <v>0</v>
      </c>
      <c r="V177" s="105">
        <v>0</v>
      </c>
      <c r="W177" s="116">
        <f t="shared" si="196"/>
        <v>5.9322033898305087</v>
      </c>
      <c r="X177" s="105">
        <v>7</v>
      </c>
      <c r="Y177" s="105">
        <f t="shared" si="175"/>
        <v>0</v>
      </c>
      <c r="Z177" s="104">
        <v>0</v>
      </c>
      <c r="AA177" s="116">
        <f t="shared" si="192"/>
        <v>5.5084745762711869</v>
      </c>
      <c r="AB177" s="116">
        <v>6.5</v>
      </c>
      <c r="AC177" s="105">
        <f t="shared" si="176"/>
        <v>0</v>
      </c>
      <c r="AD177" s="105">
        <v>0</v>
      </c>
      <c r="AE177" s="124">
        <f t="shared" si="193"/>
        <v>4.2372881355932206</v>
      </c>
      <c r="AF177" s="124">
        <v>5</v>
      </c>
      <c r="AG177" s="105">
        <f t="shared" si="177"/>
        <v>0</v>
      </c>
      <c r="AH177" s="106">
        <v>0</v>
      </c>
      <c r="AI177" s="124">
        <f t="shared" si="194"/>
        <v>9.3220338983050848</v>
      </c>
      <c r="AJ177" s="116">
        <v>11</v>
      </c>
      <c r="AK177" s="105">
        <f t="shared" si="178"/>
        <v>0</v>
      </c>
      <c r="AL177" s="106">
        <v>0</v>
      </c>
      <c r="AM177" s="124">
        <f>AN177/1.18</f>
        <v>12.711864406779661</v>
      </c>
      <c r="AN177" s="124">
        <v>15</v>
      </c>
      <c r="AO177" s="105">
        <f t="shared" si="180"/>
        <v>0</v>
      </c>
      <c r="AP177" s="105">
        <f t="shared" si="166"/>
        <v>2252.7457627118647</v>
      </c>
      <c r="AQ177" s="105">
        <f t="shared" si="167"/>
        <v>2658.2400000000002</v>
      </c>
      <c r="AR177" s="106">
        <v>200</v>
      </c>
      <c r="AS177" s="105" t="s">
        <v>312</v>
      </c>
      <c r="AT177" s="107">
        <v>0</v>
      </c>
      <c r="AU177" s="119">
        <f t="shared" si="195"/>
        <v>5.0847457627118651</v>
      </c>
      <c r="AV177" s="119">
        <v>6</v>
      </c>
      <c r="AW177" s="107">
        <f t="shared" ref="AW177" si="199">AU177*AR177</f>
        <v>1016.949152542373</v>
      </c>
      <c r="AX177" s="107">
        <f t="shared" ref="AX177" si="200">AV177*AR177</f>
        <v>1200</v>
      </c>
      <c r="AY177" s="108">
        <f t="shared" si="164"/>
        <v>3269.6949152542375</v>
      </c>
      <c r="AZ177" s="109">
        <f t="shared" si="164"/>
        <v>3858.2400000000002</v>
      </c>
      <c r="BA177" s="9"/>
      <c r="BB177" s="9"/>
      <c r="BC177" s="9"/>
      <c r="BD177" s="9"/>
      <c r="BE177" s="45"/>
      <c r="BF177" s="45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</row>
    <row r="178" spans="1:93" s="4" customFormat="1" ht="228.75" outlineLevel="1" x14ac:dyDescent="0.25">
      <c r="A178" s="100">
        <f>A177+1</f>
        <v>144</v>
      </c>
      <c r="B178" s="101" t="s">
        <v>253</v>
      </c>
      <c r="C178" s="102" t="s">
        <v>175</v>
      </c>
      <c r="D178" s="103" t="s">
        <v>19</v>
      </c>
      <c r="E178" s="104">
        <f t="shared" si="168"/>
        <v>2348.6999999999998</v>
      </c>
      <c r="F178" s="105">
        <v>0</v>
      </c>
      <c r="G178" s="105">
        <f t="shared" si="159"/>
        <v>16.949152542372882</v>
      </c>
      <c r="H178" s="105">
        <v>20</v>
      </c>
      <c r="I178" s="105">
        <f t="shared" si="169"/>
        <v>0</v>
      </c>
      <c r="J178" s="104">
        <v>344.6</v>
      </c>
      <c r="K178" s="105">
        <f t="shared" si="156"/>
        <v>12.711864406779661</v>
      </c>
      <c r="L178" s="116">
        <v>15</v>
      </c>
      <c r="M178" s="105">
        <f t="shared" si="170"/>
        <v>5169</v>
      </c>
      <c r="N178" s="106">
        <v>1011.4</v>
      </c>
      <c r="O178" s="105">
        <f t="shared" si="171"/>
        <v>6.6101694915254239</v>
      </c>
      <c r="P178" s="116">
        <v>7.8</v>
      </c>
      <c r="Q178" s="105">
        <f t="shared" si="172"/>
        <v>7888.92</v>
      </c>
      <c r="R178" s="104">
        <v>0</v>
      </c>
      <c r="S178" s="105">
        <f t="shared" si="173"/>
        <v>13.220338983050848</v>
      </c>
      <c r="T178" s="105">
        <v>15.6</v>
      </c>
      <c r="U178" s="105">
        <f t="shared" si="174"/>
        <v>0</v>
      </c>
      <c r="V178" s="105">
        <v>42.4</v>
      </c>
      <c r="W178" s="116">
        <v>4.2</v>
      </c>
      <c r="X178" s="105">
        <v>7</v>
      </c>
      <c r="Y178" s="105">
        <f t="shared" si="175"/>
        <v>296.8</v>
      </c>
      <c r="Z178" s="104">
        <f>866.6-9.5</f>
        <v>857.1</v>
      </c>
      <c r="AA178" s="116">
        <f t="shared" si="160"/>
        <v>5.5084745762711869</v>
      </c>
      <c r="AB178" s="116">
        <v>6.5</v>
      </c>
      <c r="AC178" s="105">
        <f t="shared" si="176"/>
        <v>5571.1500000000005</v>
      </c>
      <c r="AD178" s="105">
        <v>0</v>
      </c>
      <c r="AE178" s="105">
        <f t="shared" si="161"/>
        <v>4.2372881355932206</v>
      </c>
      <c r="AF178" s="105">
        <v>5</v>
      </c>
      <c r="AG178" s="105">
        <f t="shared" si="177"/>
        <v>0</v>
      </c>
      <c r="AH178" s="106">
        <v>35.5</v>
      </c>
      <c r="AI178" s="105">
        <f t="shared" si="162"/>
        <v>9.3220338983050848</v>
      </c>
      <c r="AJ178" s="116">
        <v>11</v>
      </c>
      <c r="AK178" s="105">
        <f t="shared" si="178"/>
        <v>390.5</v>
      </c>
      <c r="AL178" s="106">
        <v>57.7</v>
      </c>
      <c r="AM178" s="105">
        <f t="shared" si="179"/>
        <v>12.711864406779661</v>
      </c>
      <c r="AN178" s="105">
        <v>15</v>
      </c>
      <c r="AO178" s="105">
        <f t="shared" si="180"/>
        <v>865.5</v>
      </c>
      <c r="AP178" s="105">
        <f t="shared" si="166"/>
        <v>17103.27966101695</v>
      </c>
      <c r="AQ178" s="105">
        <f t="shared" si="167"/>
        <v>20181.87</v>
      </c>
      <c r="AR178" s="106">
        <v>93</v>
      </c>
      <c r="AS178" s="105" t="s">
        <v>312</v>
      </c>
      <c r="AT178" s="107">
        <v>0</v>
      </c>
      <c r="AU178" s="119">
        <f t="shared" si="195"/>
        <v>5.0847457627118651</v>
      </c>
      <c r="AV178" s="119">
        <v>6</v>
      </c>
      <c r="AW178" s="107">
        <f t="shared" si="182"/>
        <v>472.88135593220346</v>
      </c>
      <c r="AX178" s="107">
        <f t="shared" si="181"/>
        <v>558</v>
      </c>
      <c r="AY178" s="108">
        <f t="shared" si="164"/>
        <v>17576.161016949154</v>
      </c>
      <c r="AZ178" s="109">
        <f t="shared" si="164"/>
        <v>20739.87</v>
      </c>
      <c r="BA178" s="9"/>
      <c r="BB178" s="9"/>
      <c r="BC178" s="9"/>
      <c r="BD178" s="9"/>
      <c r="BE178" s="45"/>
      <c r="BF178" s="45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</row>
    <row r="179" spans="1:93" s="4" customFormat="1" ht="228.75" outlineLevel="1" x14ac:dyDescent="0.25">
      <c r="A179" s="100">
        <f t="shared" ref="A179:A185" si="201">A178+1</f>
        <v>145</v>
      </c>
      <c r="B179" s="101" t="s">
        <v>253</v>
      </c>
      <c r="C179" s="102" t="s">
        <v>176</v>
      </c>
      <c r="D179" s="103" t="s">
        <v>19</v>
      </c>
      <c r="E179" s="104">
        <f t="shared" si="168"/>
        <v>77.399999999999991</v>
      </c>
      <c r="F179" s="105">
        <v>0</v>
      </c>
      <c r="G179" s="105">
        <f t="shared" si="159"/>
        <v>16.949152542372882</v>
      </c>
      <c r="H179" s="105">
        <v>20</v>
      </c>
      <c r="I179" s="105">
        <f t="shared" si="169"/>
        <v>0</v>
      </c>
      <c r="J179" s="104">
        <v>0</v>
      </c>
      <c r="K179" s="105">
        <f t="shared" si="156"/>
        <v>12.711864406779661</v>
      </c>
      <c r="L179" s="116">
        <v>15</v>
      </c>
      <c r="M179" s="105">
        <f t="shared" si="170"/>
        <v>0</v>
      </c>
      <c r="N179" s="106">
        <v>36.799999999999997</v>
      </c>
      <c r="O179" s="105">
        <f t="shared" si="171"/>
        <v>6.6101694915254239</v>
      </c>
      <c r="P179" s="116">
        <v>7.8</v>
      </c>
      <c r="Q179" s="105">
        <f t="shared" si="172"/>
        <v>287.03999999999996</v>
      </c>
      <c r="R179" s="104">
        <v>0</v>
      </c>
      <c r="S179" s="105">
        <f t="shared" si="173"/>
        <v>13.220338983050848</v>
      </c>
      <c r="T179" s="105">
        <v>15.6</v>
      </c>
      <c r="U179" s="105">
        <f t="shared" si="174"/>
        <v>0</v>
      </c>
      <c r="V179" s="105">
        <v>6.8</v>
      </c>
      <c r="W179" s="105">
        <f t="shared" ref="W179:W181" si="202">X179/1.18</f>
        <v>5.9322033898305087</v>
      </c>
      <c r="X179" s="105">
        <v>7</v>
      </c>
      <c r="Y179" s="105">
        <f t="shared" si="175"/>
        <v>47.6</v>
      </c>
      <c r="Z179" s="104">
        <v>33.799999999999997</v>
      </c>
      <c r="AA179" s="105">
        <f t="shared" si="160"/>
        <v>5.5084745762711869</v>
      </c>
      <c r="AB179" s="116">
        <v>6.5</v>
      </c>
      <c r="AC179" s="105">
        <f t="shared" si="176"/>
        <v>219.7</v>
      </c>
      <c r="AD179" s="105">
        <v>0</v>
      </c>
      <c r="AE179" s="105">
        <f t="shared" si="161"/>
        <v>4.2372881355932206</v>
      </c>
      <c r="AF179" s="105">
        <v>5</v>
      </c>
      <c r="AG179" s="105">
        <f t="shared" si="177"/>
        <v>0</v>
      </c>
      <c r="AH179" s="106">
        <v>0</v>
      </c>
      <c r="AI179" s="105">
        <f t="shared" si="162"/>
        <v>9.3220338983050848</v>
      </c>
      <c r="AJ179" s="116">
        <v>11</v>
      </c>
      <c r="AK179" s="105">
        <f t="shared" si="178"/>
        <v>0</v>
      </c>
      <c r="AL179" s="106">
        <v>0</v>
      </c>
      <c r="AM179" s="105">
        <f t="shared" si="179"/>
        <v>12.711864406779661</v>
      </c>
      <c r="AN179" s="105">
        <v>15</v>
      </c>
      <c r="AO179" s="105">
        <f t="shared" si="180"/>
        <v>0</v>
      </c>
      <c r="AP179" s="105">
        <f t="shared" si="166"/>
        <v>469.77966101694909</v>
      </c>
      <c r="AQ179" s="105">
        <f t="shared" si="167"/>
        <v>554.33999999999992</v>
      </c>
      <c r="AR179" s="106">
        <v>0</v>
      </c>
      <c r="AS179" s="105" t="s">
        <v>312</v>
      </c>
      <c r="AT179" s="107">
        <v>0</v>
      </c>
      <c r="AU179" s="119">
        <f t="shared" si="195"/>
        <v>5.0847457627118651</v>
      </c>
      <c r="AV179" s="119">
        <v>6</v>
      </c>
      <c r="AW179" s="107">
        <f t="shared" si="182"/>
        <v>0</v>
      </c>
      <c r="AX179" s="107">
        <f t="shared" si="181"/>
        <v>0</v>
      </c>
      <c r="AY179" s="108">
        <f t="shared" si="164"/>
        <v>469.77966101694909</v>
      </c>
      <c r="AZ179" s="109">
        <f t="shared" si="164"/>
        <v>554.33999999999992</v>
      </c>
      <c r="BA179" s="9"/>
      <c r="BB179" s="9"/>
      <c r="BC179" s="9"/>
      <c r="BD179" s="9"/>
      <c r="BE179" s="45"/>
      <c r="BF179" s="45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</row>
    <row r="180" spans="1:93" s="4" customFormat="1" ht="228.75" outlineLevel="1" x14ac:dyDescent="0.25">
      <c r="A180" s="100">
        <f t="shared" si="201"/>
        <v>146</v>
      </c>
      <c r="B180" s="101" t="s">
        <v>18</v>
      </c>
      <c r="C180" s="102" t="s">
        <v>177</v>
      </c>
      <c r="D180" s="103" t="s">
        <v>19</v>
      </c>
      <c r="E180" s="104">
        <f t="shared" si="168"/>
        <v>315.90000000000003</v>
      </c>
      <c r="F180" s="105">
        <v>0</v>
      </c>
      <c r="G180" s="105">
        <f t="shared" si="159"/>
        <v>16.949152542372882</v>
      </c>
      <c r="H180" s="105">
        <v>20</v>
      </c>
      <c r="I180" s="105">
        <f t="shared" si="169"/>
        <v>0</v>
      </c>
      <c r="J180" s="104">
        <v>13</v>
      </c>
      <c r="K180" s="105">
        <f t="shared" si="156"/>
        <v>12.711864406779661</v>
      </c>
      <c r="L180" s="116">
        <v>15</v>
      </c>
      <c r="M180" s="105">
        <f t="shared" si="170"/>
        <v>195</v>
      </c>
      <c r="N180" s="106">
        <f>157.9+13.9+30.2</f>
        <v>202</v>
      </c>
      <c r="O180" s="105">
        <f t="shared" si="171"/>
        <v>6.6101694915254239</v>
      </c>
      <c r="P180" s="116">
        <v>7.8</v>
      </c>
      <c r="Q180" s="105">
        <f t="shared" si="172"/>
        <v>1575.6</v>
      </c>
      <c r="R180" s="104">
        <v>0</v>
      </c>
      <c r="S180" s="105">
        <f t="shared" si="173"/>
        <v>13.220338983050848</v>
      </c>
      <c r="T180" s="105">
        <v>15.6</v>
      </c>
      <c r="U180" s="105">
        <f t="shared" si="174"/>
        <v>0</v>
      </c>
      <c r="V180" s="105">
        <f>7.5</f>
        <v>7.5</v>
      </c>
      <c r="W180" s="105">
        <f t="shared" si="202"/>
        <v>5.9322033898305087</v>
      </c>
      <c r="X180" s="105">
        <v>7</v>
      </c>
      <c r="Y180" s="105">
        <f t="shared" si="175"/>
        <v>52.5</v>
      </c>
      <c r="Z180" s="104">
        <f>54.1+17+17</f>
        <v>88.1</v>
      </c>
      <c r="AA180" s="105">
        <f t="shared" si="160"/>
        <v>5.5084745762711869</v>
      </c>
      <c r="AB180" s="116">
        <v>6.5</v>
      </c>
      <c r="AC180" s="105">
        <f t="shared" si="176"/>
        <v>572.65</v>
      </c>
      <c r="AD180" s="105">
        <v>0</v>
      </c>
      <c r="AE180" s="105">
        <f t="shared" si="161"/>
        <v>4.2372881355932206</v>
      </c>
      <c r="AF180" s="105">
        <v>5</v>
      </c>
      <c r="AG180" s="105">
        <f t="shared" si="177"/>
        <v>0</v>
      </c>
      <c r="AH180" s="106">
        <v>0</v>
      </c>
      <c r="AI180" s="105">
        <f t="shared" si="162"/>
        <v>9.3220338983050848</v>
      </c>
      <c r="AJ180" s="116">
        <v>11</v>
      </c>
      <c r="AK180" s="105">
        <f t="shared" si="178"/>
        <v>0</v>
      </c>
      <c r="AL180" s="106">
        <v>5.3</v>
      </c>
      <c r="AM180" s="105">
        <f t="shared" si="179"/>
        <v>12.711864406779661</v>
      </c>
      <c r="AN180" s="105">
        <v>15</v>
      </c>
      <c r="AO180" s="105">
        <f t="shared" si="180"/>
        <v>79.5</v>
      </c>
      <c r="AP180" s="105">
        <f t="shared" si="166"/>
        <v>2097.6694915254238</v>
      </c>
      <c r="AQ180" s="105">
        <f t="shared" si="167"/>
        <v>2475.25</v>
      </c>
      <c r="AR180" s="106">
        <v>50</v>
      </c>
      <c r="AS180" s="105" t="s">
        <v>312</v>
      </c>
      <c r="AT180" s="107">
        <v>0</v>
      </c>
      <c r="AU180" s="119">
        <f t="shared" si="195"/>
        <v>5.0847457627118651</v>
      </c>
      <c r="AV180" s="119">
        <v>6</v>
      </c>
      <c r="AW180" s="107">
        <f t="shared" si="182"/>
        <v>254.23728813559325</v>
      </c>
      <c r="AX180" s="107">
        <f t="shared" si="181"/>
        <v>300</v>
      </c>
      <c r="AY180" s="108">
        <f t="shared" si="164"/>
        <v>2351.906779661017</v>
      </c>
      <c r="AZ180" s="109">
        <f t="shared" si="164"/>
        <v>2775.25</v>
      </c>
      <c r="BA180" s="9"/>
      <c r="BB180" s="9"/>
      <c r="BC180" s="9"/>
      <c r="BD180" s="9"/>
      <c r="BE180" s="45"/>
      <c r="BF180" s="45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</row>
    <row r="181" spans="1:93" s="4" customFormat="1" ht="274.5" outlineLevel="1" x14ac:dyDescent="0.25">
      <c r="A181" s="100">
        <f t="shared" si="201"/>
        <v>147</v>
      </c>
      <c r="B181" s="101" t="s">
        <v>253</v>
      </c>
      <c r="C181" s="102" t="s">
        <v>178</v>
      </c>
      <c r="D181" s="103" t="s">
        <v>19</v>
      </c>
      <c r="E181" s="104">
        <f t="shared" si="168"/>
        <v>65.7</v>
      </c>
      <c r="F181" s="105">
        <v>0</v>
      </c>
      <c r="G181" s="105">
        <f t="shared" si="159"/>
        <v>16.949152542372882</v>
      </c>
      <c r="H181" s="105">
        <v>20</v>
      </c>
      <c r="I181" s="105">
        <f t="shared" si="169"/>
        <v>0</v>
      </c>
      <c r="J181" s="104">
        <v>0</v>
      </c>
      <c r="K181" s="105">
        <f t="shared" si="156"/>
        <v>12.711864406779661</v>
      </c>
      <c r="L181" s="116">
        <v>15</v>
      </c>
      <c r="M181" s="105">
        <f t="shared" si="170"/>
        <v>0</v>
      </c>
      <c r="N181" s="106">
        <v>33.9</v>
      </c>
      <c r="O181" s="105">
        <f t="shared" si="171"/>
        <v>6.6101694915254239</v>
      </c>
      <c r="P181" s="116">
        <v>7.8</v>
      </c>
      <c r="Q181" s="105">
        <f t="shared" si="172"/>
        <v>264.41999999999996</v>
      </c>
      <c r="R181" s="104">
        <v>0</v>
      </c>
      <c r="S181" s="105">
        <f t="shared" si="173"/>
        <v>13.220338983050848</v>
      </c>
      <c r="T181" s="105">
        <v>15.6</v>
      </c>
      <c r="U181" s="105">
        <f t="shared" si="174"/>
        <v>0</v>
      </c>
      <c r="V181" s="105">
        <v>14.2</v>
      </c>
      <c r="W181" s="105">
        <f t="shared" si="202"/>
        <v>5.9322033898305087</v>
      </c>
      <c r="X181" s="105">
        <v>7</v>
      </c>
      <c r="Y181" s="105">
        <f t="shared" si="175"/>
        <v>99.399999999999991</v>
      </c>
      <c r="Z181" s="104">
        <v>15.2</v>
      </c>
      <c r="AA181" s="105">
        <f t="shared" si="160"/>
        <v>5.5084745762711869</v>
      </c>
      <c r="AB181" s="116">
        <v>6.5</v>
      </c>
      <c r="AC181" s="105">
        <f t="shared" si="176"/>
        <v>98.8</v>
      </c>
      <c r="AD181" s="105">
        <v>0</v>
      </c>
      <c r="AE181" s="105">
        <f t="shared" si="161"/>
        <v>4.2372881355932206</v>
      </c>
      <c r="AF181" s="105">
        <v>5</v>
      </c>
      <c r="AG181" s="105">
        <f t="shared" si="177"/>
        <v>0</v>
      </c>
      <c r="AH181" s="106">
        <v>0</v>
      </c>
      <c r="AI181" s="105">
        <f t="shared" si="162"/>
        <v>9.3220338983050848</v>
      </c>
      <c r="AJ181" s="116">
        <v>11</v>
      </c>
      <c r="AK181" s="105">
        <f t="shared" si="178"/>
        <v>0</v>
      </c>
      <c r="AL181" s="106">
        <v>2.4</v>
      </c>
      <c r="AM181" s="105">
        <f t="shared" si="179"/>
        <v>12.711864406779661</v>
      </c>
      <c r="AN181" s="105">
        <v>15</v>
      </c>
      <c r="AO181" s="105">
        <f t="shared" si="180"/>
        <v>36</v>
      </c>
      <c r="AP181" s="105">
        <f t="shared" si="166"/>
        <v>422.5593220338983</v>
      </c>
      <c r="AQ181" s="105">
        <f t="shared" si="167"/>
        <v>498.61999999999995</v>
      </c>
      <c r="AR181" s="106">
        <v>0</v>
      </c>
      <c r="AS181" s="105" t="s">
        <v>312</v>
      </c>
      <c r="AT181" s="107">
        <v>0</v>
      </c>
      <c r="AU181" s="119">
        <f t="shared" si="195"/>
        <v>5.0847457627118651</v>
      </c>
      <c r="AV181" s="119">
        <v>6</v>
      </c>
      <c r="AW181" s="107">
        <f t="shared" si="182"/>
        <v>0</v>
      </c>
      <c r="AX181" s="107">
        <f t="shared" si="181"/>
        <v>0</v>
      </c>
      <c r="AY181" s="108">
        <f t="shared" si="164"/>
        <v>422.5593220338983</v>
      </c>
      <c r="AZ181" s="109">
        <f t="shared" si="164"/>
        <v>498.61999999999995</v>
      </c>
      <c r="BA181" s="9"/>
      <c r="BB181" s="9"/>
      <c r="BC181" s="9"/>
      <c r="BD181" s="9"/>
      <c r="BE181" s="45"/>
      <c r="BF181" s="45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</row>
    <row r="182" spans="1:93" s="4" customFormat="1" ht="366" outlineLevel="1" x14ac:dyDescent="0.25">
      <c r="A182" s="100">
        <f t="shared" si="201"/>
        <v>148</v>
      </c>
      <c r="B182" s="101" t="s">
        <v>252</v>
      </c>
      <c r="C182" s="102" t="s">
        <v>222</v>
      </c>
      <c r="D182" s="103" t="s">
        <v>19</v>
      </c>
      <c r="E182" s="104">
        <f t="shared" si="168"/>
        <v>729.77</v>
      </c>
      <c r="F182" s="105">
        <v>0</v>
      </c>
      <c r="G182" s="105">
        <f t="shared" si="159"/>
        <v>16.949152542372882</v>
      </c>
      <c r="H182" s="105">
        <v>20</v>
      </c>
      <c r="I182" s="105">
        <f t="shared" si="169"/>
        <v>0</v>
      </c>
      <c r="J182" s="104">
        <v>174.8</v>
      </c>
      <c r="K182" s="105">
        <f t="shared" si="156"/>
        <v>12.711864406779661</v>
      </c>
      <c r="L182" s="116">
        <v>15</v>
      </c>
      <c r="M182" s="105">
        <f t="shared" si="170"/>
        <v>2622</v>
      </c>
      <c r="N182" s="106">
        <v>269.89999999999998</v>
      </c>
      <c r="O182" s="105">
        <f t="shared" si="171"/>
        <v>6.6101694915254239</v>
      </c>
      <c r="P182" s="116">
        <v>7.8</v>
      </c>
      <c r="Q182" s="105">
        <f t="shared" si="172"/>
        <v>2105.2199999999998</v>
      </c>
      <c r="R182" s="104">
        <v>0</v>
      </c>
      <c r="S182" s="105">
        <f t="shared" si="173"/>
        <v>13.220338983050848</v>
      </c>
      <c r="T182" s="105">
        <v>15.6</v>
      </c>
      <c r="U182" s="105">
        <f t="shared" si="174"/>
        <v>0</v>
      </c>
      <c r="V182" s="105">
        <v>0</v>
      </c>
      <c r="W182" s="105">
        <v>4.2</v>
      </c>
      <c r="X182" s="105">
        <v>7</v>
      </c>
      <c r="Y182" s="105">
        <f t="shared" si="175"/>
        <v>0</v>
      </c>
      <c r="Z182" s="104">
        <v>251.87</v>
      </c>
      <c r="AA182" s="105">
        <f t="shared" si="160"/>
        <v>5.5084745762711869</v>
      </c>
      <c r="AB182" s="116">
        <v>6.5</v>
      </c>
      <c r="AC182" s="105">
        <f t="shared" si="176"/>
        <v>1637.155</v>
      </c>
      <c r="AD182" s="105">
        <v>0</v>
      </c>
      <c r="AE182" s="105">
        <f t="shared" si="161"/>
        <v>4.2372881355932206</v>
      </c>
      <c r="AF182" s="105">
        <v>5</v>
      </c>
      <c r="AG182" s="105">
        <f t="shared" si="177"/>
        <v>0</v>
      </c>
      <c r="AH182" s="106">
        <v>20</v>
      </c>
      <c r="AI182" s="105">
        <f t="shared" si="162"/>
        <v>9.3220338983050848</v>
      </c>
      <c r="AJ182" s="116">
        <v>11</v>
      </c>
      <c r="AK182" s="105">
        <f t="shared" si="178"/>
        <v>220</v>
      </c>
      <c r="AL182" s="106">
        <v>13.2</v>
      </c>
      <c r="AM182" s="105">
        <f t="shared" si="179"/>
        <v>12.711864406779661</v>
      </c>
      <c r="AN182" s="105">
        <v>15</v>
      </c>
      <c r="AO182" s="105">
        <f t="shared" si="180"/>
        <v>198</v>
      </c>
      <c r="AP182" s="105">
        <f t="shared" si="166"/>
        <v>5747.7754237288127</v>
      </c>
      <c r="AQ182" s="105">
        <f t="shared" si="167"/>
        <v>6782.3749999999991</v>
      </c>
      <c r="AR182" s="106">
        <v>0</v>
      </c>
      <c r="AS182" s="105" t="s">
        <v>312</v>
      </c>
      <c r="AT182" s="107">
        <v>0</v>
      </c>
      <c r="AU182" s="119">
        <f t="shared" si="195"/>
        <v>5.0847457627118651</v>
      </c>
      <c r="AV182" s="119">
        <v>6</v>
      </c>
      <c r="AW182" s="107">
        <f t="shared" si="182"/>
        <v>0</v>
      </c>
      <c r="AX182" s="107">
        <f t="shared" si="181"/>
        <v>0</v>
      </c>
      <c r="AY182" s="108">
        <f t="shared" si="164"/>
        <v>5747.7754237288127</v>
      </c>
      <c r="AZ182" s="109">
        <f t="shared" si="164"/>
        <v>6782.3749999999991</v>
      </c>
      <c r="BA182" s="9"/>
      <c r="BB182" s="9"/>
      <c r="BC182" s="9"/>
      <c r="BD182" s="9"/>
      <c r="BE182" s="45"/>
      <c r="BF182" s="45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</row>
    <row r="183" spans="1:93" s="4" customFormat="1" ht="320.25" outlineLevel="1" x14ac:dyDescent="0.25">
      <c r="A183" s="100">
        <f t="shared" si="201"/>
        <v>149</v>
      </c>
      <c r="B183" s="101" t="s">
        <v>252</v>
      </c>
      <c r="C183" s="102" t="s">
        <v>182</v>
      </c>
      <c r="D183" s="103" t="s">
        <v>19</v>
      </c>
      <c r="E183" s="104">
        <f t="shared" si="168"/>
        <v>464.6</v>
      </c>
      <c r="F183" s="105">
        <v>0</v>
      </c>
      <c r="G183" s="105">
        <f>H183/1.18</f>
        <v>16.949152542372882</v>
      </c>
      <c r="H183" s="105">
        <v>20</v>
      </c>
      <c r="I183" s="105">
        <f>H183*F183</f>
        <v>0</v>
      </c>
      <c r="J183" s="104">
        <f>146</f>
        <v>146</v>
      </c>
      <c r="K183" s="105">
        <f>L183/1.18</f>
        <v>12.711864406779661</v>
      </c>
      <c r="L183" s="116">
        <v>15</v>
      </c>
      <c r="M183" s="105">
        <f>L183*J183</f>
        <v>2190</v>
      </c>
      <c r="N183" s="106">
        <f>135.7+14.9</f>
        <v>150.6</v>
      </c>
      <c r="O183" s="105">
        <f>P183/1.18</f>
        <v>6.6101694915254239</v>
      </c>
      <c r="P183" s="116">
        <v>7.8</v>
      </c>
      <c r="Q183" s="105">
        <f>P183*N183</f>
        <v>1174.6799999999998</v>
      </c>
      <c r="R183" s="104">
        <v>0</v>
      </c>
      <c r="S183" s="105">
        <f>T183/1.18</f>
        <v>13.220338983050848</v>
      </c>
      <c r="T183" s="105">
        <v>15.6</v>
      </c>
      <c r="U183" s="105">
        <f>T183*R183</f>
        <v>0</v>
      </c>
      <c r="V183" s="105">
        <v>0</v>
      </c>
      <c r="W183" s="105">
        <f>X183/1.18</f>
        <v>5.9322033898305087</v>
      </c>
      <c r="X183" s="105">
        <v>7</v>
      </c>
      <c r="Y183" s="105">
        <f>X183*V183</f>
        <v>0</v>
      </c>
      <c r="Z183" s="104">
        <f>77.3</f>
        <v>77.3</v>
      </c>
      <c r="AA183" s="105">
        <f>AB183/1.18</f>
        <v>5.5084745762711869</v>
      </c>
      <c r="AB183" s="116">
        <v>6.5</v>
      </c>
      <c r="AC183" s="105">
        <f>AB183*Z183</f>
        <v>502.45</v>
      </c>
      <c r="AD183" s="105">
        <v>0</v>
      </c>
      <c r="AE183" s="105">
        <f>AF183/1.18</f>
        <v>4.2372881355932206</v>
      </c>
      <c r="AF183" s="105">
        <v>5</v>
      </c>
      <c r="AG183" s="105">
        <f>AF183*AD183</f>
        <v>0</v>
      </c>
      <c r="AH183" s="106">
        <v>83.1</v>
      </c>
      <c r="AI183" s="105">
        <f>AJ183/1.18</f>
        <v>9.3220338983050848</v>
      </c>
      <c r="AJ183" s="116">
        <v>11</v>
      </c>
      <c r="AK183" s="105">
        <f>AJ183*AH183</f>
        <v>914.09999999999991</v>
      </c>
      <c r="AL183" s="106">
        <v>7.6</v>
      </c>
      <c r="AM183" s="105">
        <f>AN183/1.18</f>
        <v>12.711864406779661</v>
      </c>
      <c r="AN183" s="105">
        <v>15</v>
      </c>
      <c r="AO183" s="105">
        <f>AN183*AL183</f>
        <v>114</v>
      </c>
      <c r="AP183" s="105">
        <f t="shared" si="166"/>
        <v>4148.5</v>
      </c>
      <c r="AQ183" s="105">
        <f t="shared" si="167"/>
        <v>4895.2299999999996</v>
      </c>
      <c r="AR183" s="106">
        <v>200</v>
      </c>
      <c r="AS183" s="105" t="s">
        <v>312</v>
      </c>
      <c r="AT183" s="107">
        <v>0</v>
      </c>
      <c r="AU183" s="119">
        <f t="shared" si="195"/>
        <v>5.0847457627118651</v>
      </c>
      <c r="AV183" s="119">
        <v>6</v>
      </c>
      <c r="AW183" s="107">
        <f>AU183*AR183</f>
        <v>1016.949152542373</v>
      </c>
      <c r="AX183" s="107">
        <f>AV183*AR183</f>
        <v>1200</v>
      </c>
      <c r="AY183" s="108">
        <f t="shared" si="164"/>
        <v>5165.4491525423728</v>
      </c>
      <c r="AZ183" s="109">
        <f t="shared" si="164"/>
        <v>6095.23</v>
      </c>
      <c r="BA183" s="9"/>
      <c r="BB183" s="9"/>
      <c r="BC183" s="9"/>
      <c r="BD183" s="9"/>
      <c r="BE183" s="45"/>
      <c r="BF183" s="45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</row>
    <row r="184" spans="1:93" s="4" customFormat="1" ht="320.25" outlineLevel="1" x14ac:dyDescent="0.25">
      <c r="A184" s="100">
        <f t="shared" si="201"/>
        <v>150</v>
      </c>
      <c r="B184" s="101" t="s">
        <v>252</v>
      </c>
      <c r="C184" s="102" t="s">
        <v>183</v>
      </c>
      <c r="D184" s="103" t="s">
        <v>19</v>
      </c>
      <c r="E184" s="104">
        <f t="shared" si="168"/>
        <v>547.79999999999995</v>
      </c>
      <c r="F184" s="105">
        <v>0</v>
      </c>
      <c r="G184" s="105">
        <f>H184/1.18</f>
        <v>16.949152542372882</v>
      </c>
      <c r="H184" s="105">
        <v>20</v>
      </c>
      <c r="I184" s="105">
        <f>H184*F184</f>
        <v>0</v>
      </c>
      <c r="J184" s="104">
        <f>102.4+50.1</f>
        <v>152.5</v>
      </c>
      <c r="K184" s="105">
        <f>L184/1.18</f>
        <v>12.711864406779661</v>
      </c>
      <c r="L184" s="116">
        <v>15</v>
      </c>
      <c r="M184" s="105">
        <f>L184*J184</f>
        <v>2287.5</v>
      </c>
      <c r="N184" s="106">
        <f>8.9+122.5+10+101.6</f>
        <v>243</v>
      </c>
      <c r="O184" s="105">
        <f>P184/1.18</f>
        <v>6.6101694915254239</v>
      </c>
      <c r="P184" s="116">
        <v>7.8</v>
      </c>
      <c r="Q184" s="105">
        <f>P184*N184</f>
        <v>1895.3999999999999</v>
      </c>
      <c r="R184" s="104">
        <v>0</v>
      </c>
      <c r="S184" s="105">
        <f>T184/1.18</f>
        <v>13.220338983050848</v>
      </c>
      <c r="T184" s="105">
        <v>15.6</v>
      </c>
      <c r="U184" s="105">
        <f>T184*R184</f>
        <v>0</v>
      </c>
      <c r="V184" s="105">
        <v>0</v>
      </c>
      <c r="W184" s="105">
        <f>X184/1.18</f>
        <v>5.9322033898305087</v>
      </c>
      <c r="X184" s="105">
        <v>7</v>
      </c>
      <c r="Y184" s="105">
        <f>X184*V184</f>
        <v>0</v>
      </c>
      <c r="Z184" s="104">
        <f>14.6+16.5+30.1+16.8+15.3+46.4+12.6</f>
        <v>152.29999999999998</v>
      </c>
      <c r="AA184" s="105">
        <f>AB184/1.18</f>
        <v>5.5084745762711869</v>
      </c>
      <c r="AB184" s="116">
        <v>6.5</v>
      </c>
      <c r="AC184" s="105">
        <f>AB184*Z184</f>
        <v>989.94999999999993</v>
      </c>
      <c r="AD184" s="105">
        <v>0</v>
      </c>
      <c r="AE184" s="105">
        <f>AF184/1.18</f>
        <v>4.2372881355932206</v>
      </c>
      <c r="AF184" s="105">
        <v>5</v>
      </c>
      <c r="AG184" s="105">
        <f>AF184*AD184</f>
        <v>0</v>
      </c>
      <c r="AH184" s="106">
        <v>0</v>
      </c>
      <c r="AI184" s="105">
        <f>AJ184/1.18</f>
        <v>9.3220338983050848</v>
      </c>
      <c r="AJ184" s="116">
        <v>11</v>
      </c>
      <c r="AK184" s="105">
        <f>AJ184*AH184</f>
        <v>0</v>
      </c>
      <c r="AL184" s="106">
        <v>0</v>
      </c>
      <c r="AM184" s="105">
        <f>AN184/1.18</f>
        <v>12.711864406779661</v>
      </c>
      <c r="AN184" s="105">
        <v>15</v>
      </c>
      <c r="AO184" s="105">
        <f>AN184*AL184</f>
        <v>0</v>
      </c>
      <c r="AP184" s="105">
        <f t="shared" si="166"/>
        <v>4383.7711864406774</v>
      </c>
      <c r="AQ184" s="105">
        <f t="shared" si="167"/>
        <v>5172.8499999999995</v>
      </c>
      <c r="AR184" s="106">
        <v>130</v>
      </c>
      <c r="AS184" s="105" t="s">
        <v>312</v>
      </c>
      <c r="AT184" s="107">
        <v>0</v>
      </c>
      <c r="AU184" s="119">
        <f t="shared" si="195"/>
        <v>5.0847457627118651</v>
      </c>
      <c r="AV184" s="119">
        <v>6</v>
      </c>
      <c r="AW184" s="107">
        <f>AU184*AR184</f>
        <v>661.01694915254245</v>
      </c>
      <c r="AX184" s="107">
        <f>AV184*AR184</f>
        <v>780</v>
      </c>
      <c r="AY184" s="108">
        <f t="shared" si="164"/>
        <v>5044.7881355932195</v>
      </c>
      <c r="AZ184" s="109">
        <f t="shared" si="164"/>
        <v>5952.8499999999995</v>
      </c>
      <c r="BA184" s="9"/>
      <c r="BB184" s="9"/>
      <c r="BC184" s="9"/>
      <c r="BD184" s="9"/>
      <c r="BE184" s="45"/>
      <c r="BF184" s="45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</row>
    <row r="185" spans="1:93" s="4" customFormat="1" ht="320.25" outlineLevel="1" x14ac:dyDescent="0.25">
      <c r="A185" s="100">
        <f t="shared" si="201"/>
        <v>151</v>
      </c>
      <c r="B185" s="101" t="s">
        <v>252</v>
      </c>
      <c r="C185" s="102" t="s">
        <v>184</v>
      </c>
      <c r="D185" s="103" t="s">
        <v>19</v>
      </c>
      <c r="E185" s="104">
        <f t="shared" si="168"/>
        <v>675.2</v>
      </c>
      <c r="F185" s="105">
        <v>0</v>
      </c>
      <c r="G185" s="105">
        <f t="shared" ref="G185" si="203">H185/1.18</f>
        <v>16.949152542372882</v>
      </c>
      <c r="H185" s="105">
        <v>20</v>
      </c>
      <c r="I185" s="105">
        <f t="shared" ref="I185" si="204">H185*F185</f>
        <v>0</v>
      </c>
      <c r="J185" s="104">
        <f>41.4+11.1+62</f>
        <v>114.5</v>
      </c>
      <c r="K185" s="105">
        <f t="shared" ref="K185" si="205">L185/1.18</f>
        <v>12.711864406779661</v>
      </c>
      <c r="L185" s="116">
        <v>15</v>
      </c>
      <c r="M185" s="105">
        <f t="shared" ref="M185" si="206">L185*J185</f>
        <v>1717.5</v>
      </c>
      <c r="N185" s="106">
        <f>205.7+23.1+55.1</f>
        <v>283.89999999999998</v>
      </c>
      <c r="O185" s="105">
        <f t="shared" ref="O185" si="207">P185/1.18</f>
        <v>6.6101694915254239</v>
      </c>
      <c r="P185" s="116">
        <v>7.8</v>
      </c>
      <c r="Q185" s="105">
        <f t="shared" ref="Q185" si="208">P185*N185</f>
        <v>2214.4199999999996</v>
      </c>
      <c r="R185" s="104">
        <v>0</v>
      </c>
      <c r="S185" s="105">
        <f t="shared" ref="S185" si="209">T185/1.18</f>
        <v>13.220338983050848</v>
      </c>
      <c r="T185" s="105">
        <v>15.6</v>
      </c>
      <c r="U185" s="105">
        <f t="shared" ref="U185" si="210">T185*R185</f>
        <v>0</v>
      </c>
      <c r="V185" s="105">
        <v>27.1</v>
      </c>
      <c r="W185" s="105">
        <f t="shared" ref="W185" si="211">X185/1.18</f>
        <v>5.9322033898305087</v>
      </c>
      <c r="X185" s="105">
        <v>7</v>
      </c>
      <c r="Y185" s="105">
        <f t="shared" ref="Y185" si="212">X185*V185</f>
        <v>189.70000000000002</v>
      </c>
      <c r="Z185" s="104">
        <f>35.7+8.6+40.3+65.2+9.3</f>
        <v>159.10000000000002</v>
      </c>
      <c r="AA185" s="105">
        <f t="shared" ref="AA185" si="213">AB185/1.18</f>
        <v>5.5084745762711869</v>
      </c>
      <c r="AB185" s="116">
        <v>6.5</v>
      </c>
      <c r="AC185" s="105">
        <f t="shared" ref="AC185" si="214">AB185*Z185</f>
        <v>1034.1500000000001</v>
      </c>
      <c r="AD185" s="105">
        <v>0</v>
      </c>
      <c r="AE185" s="105">
        <f t="shared" ref="AE185" si="215">AF185/1.18</f>
        <v>0</v>
      </c>
      <c r="AF185" s="105"/>
      <c r="AG185" s="105">
        <f t="shared" ref="AG185" si="216">AF185*AD185</f>
        <v>0</v>
      </c>
      <c r="AH185" s="106">
        <f>55.1+27</f>
        <v>82.1</v>
      </c>
      <c r="AI185" s="105">
        <f t="shared" ref="AI185" si="217">AJ185/1.18</f>
        <v>9.3220338983050848</v>
      </c>
      <c r="AJ185" s="116">
        <v>11</v>
      </c>
      <c r="AK185" s="105">
        <f t="shared" ref="AK185" si="218">AJ185*AH185</f>
        <v>903.09999999999991</v>
      </c>
      <c r="AL185" s="106">
        <v>8.5</v>
      </c>
      <c r="AM185" s="105">
        <f t="shared" ref="AM185" si="219">AN185/1.18</f>
        <v>0</v>
      </c>
      <c r="AN185" s="105"/>
      <c r="AO185" s="105">
        <f t="shared" ref="AO185" si="220">AN185*AL185</f>
        <v>0</v>
      </c>
      <c r="AP185" s="105">
        <f t="shared" si="166"/>
        <v>5134.6355932203396</v>
      </c>
      <c r="AQ185" s="105">
        <f t="shared" si="167"/>
        <v>6058.8700000000008</v>
      </c>
      <c r="AR185" s="106">
        <v>0</v>
      </c>
      <c r="AS185" s="105" t="s">
        <v>312</v>
      </c>
      <c r="AT185" s="107">
        <v>0</v>
      </c>
      <c r="AU185" s="119">
        <f t="shared" si="195"/>
        <v>5.0847457627118651</v>
      </c>
      <c r="AV185" s="119">
        <v>6</v>
      </c>
      <c r="AW185" s="107">
        <f>AU185*AR185</f>
        <v>0</v>
      </c>
      <c r="AX185" s="107">
        <f>AV185*AR185</f>
        <v>0</v>
      </c>
      <c r="AY185" s="108">
        <f t="shared" si="164"/>
        <v>5134.6355932203396</v>
      </c>
      <c r="AZ185" s="109">
        <f t="shared" si="164"/>
        <v>6058.8700000000008</v>
      </c>
      <c r="BA185" s="9"/>
      <c r="BB185" s="9"/>
      <c r="BC185" s="9"/>
      <c r="BD185" s="9"/>
      <c r="BE185" s="45"/>
      <c r="BF185" s="45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</row>
    <row r="186" spans="1:93" s="32" customFormat="1" ht="45.75" outlineLevel="1" x14ac:dyDescent="0.3">
      <c r="A186" s="149" t="s">
        <v>62</v>
      </c>
      <c r="B186" s="150"/>
      <c r="C186" s="150"/>
      <c r="D186" s="133"/>
      <c r="E186" s="104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  <c r="AA186" s="133"/>
      <c r="AB186" s="133"/>
      <c r="AC186" s="133"/>
      <c r="AD186" s="133"/>
      <c r="AE186" s="133"/>
      <c r="AF186" s="133"/>
      <c r="AG186" s="133"/>
      <c r="AH186" s="133"/>
      <c r="AI186" s="133"/>
      <c r="AJ186" s="133"/>
      <c r="AK186" s="133"/>
      <c r="AL186" s="133"/>
      <c r="AM186" s="133"/>
      <c r="AN186" s="133"/>
      <c r="AO186" s="133"/>
      <c r="AP186" s="111"/>
      <c r="AQ186" s="111"/>
      <c r="AR186" s="133"/>
      <c r="AS186" s="105"/>
      <c r="AT186" s="133"/>
      <c r="AU186" s="133"/>
      <c r="AV186" s="133"/>
      <c r="AW186" s="133"/>
      <c r="AX186" s="133"/>
      <c r="AY186" s="111"/>
      <c r="AZ186" s="112"/>
      <c r="BA186" s="30"/>
      <c r="BB186" s="30"/>
      <c r="BC186" s="30"/>
      <c r="BD186" s="30"/>
      <c r="BE186" s="75"/>
      <c r="BF186" s="75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  <c r="BQ186" s="44"/>
      <c r="BR186" s="44"/>
      <c r="BS186" s="44"/>
      <c r="BT186" s="44"/>
      <c r="BU186" s="44"/>
      <c r="BV186" s="44"/>
      <c r="BW186" s="44"/>
      <c r="BX186" s="44"/>
      <c r="BY186" s="44"/>
      <c r="BZ186" s="44"/>
      <c r="CA186" s="44"/>
      <c r="CB186" s="44"/>
      <c r="CC186" s="44"/>
      <c r="CD186" s="44"/>
      <c r="CE186" s="44"/>
      <c r="CF186" s="44"/>
      <c r="CG186" s="44"/>
      <c r="CH186" s="44"/>
      <c r="CI186" s="44"/>
      <c r="CJ186" s="44"/>
      <c r="CK186" s="44"/>
      <c r="CL186" s="44"/>
      <c r="CM186" s="44"/>
      <c r="CN186" s="44"/>
      <c r="CO186" s="44"/>
    </row>
    <row r="187" spans="1:93" s="4" customFormat="1" ht="274.5" outlineLevel="1" x14ac:dyDescent="0.25">
      <c r="A187" s="100">
        <f>A185+1</f>
        <v>152</v>
      </c>
      <c r="B187" s="101" t="s">
        <v>252</v>
      </c>
      <c r="C187" s="102" t="s">
        <v>185</v>
      </c>
      <c r="D187" s="103" t="s">
        <v>19</v>
      </c>
      <c r="E187" s="104">
        <f t="shared" si="168"/>
        <v>656.49999999999989</v>
      </c>
      <c r="F187" s="105">
        <v>0</v>
      </c>
      <c r="G187" s="105">
        <f t="shared" si="159"/>
        <v>16.949152542372882</v>
      </c>
      <c r="H187" s="105">
        <v>20</v>
      </c>
      <c r="I187" s="105">
        <f t="shared" si="169"/>
        <v>0</v>
      </c>
      <c r="J187" s="104">
        <f>146.1+47.1+33.2</f>
        <v>226.39999999999998</v>
      </c>
      <c r="K187" s="105">
        <f t="shared" si="156"/>
        <v>12.711864406779661</v>
      </c>
      <c r="L187" s="105">
        <v>15</v>
      </c>
      <c r="M187" s="105">
        <f t="shared" si="170"/>
        <v>3395.9999999999995</v>
      </c>
      <c r="N187" s="106">
        <f>62.3+17.5+52.8+57.6</f>
        <v>190.2</v>
      </c>
      <c r="O187" s="105">
        <f t="shared" si="171"/>
        <v>6.6101694915254239</v>
      </c>
      <c r="P187" s="105">
        <v>7.8</v>
      </c>
      <c r="Q187" s="105">
        <f t="shared" si="172"/>
        <v>1483.56</v>
      </c>
      <c r="R187" s="104">
        <v>0</v>
      </c>
      <c r="S187" s="105">
        <f t="shared" si="173"/>
        <v>13.220338983050848</v>
      </c>
      <c r="T187" s="105">
        <v>15.6</v>
      </c>
      <c r="U187" s="105">
        <f t="shared" si="174"/>
        <v>0</v>
      </c>
      <c r="V187" s="105">
        <v>0</v>
      </c>
      <c r="W187" s="105">
        <f t="shared" ref="W187:W203" si="221">X187/1.18</f>
        <v>5.9322033898305087</v>
      </c>
      <c r="X187" s="105">
        <v>7</v>
      </c>
      <c r="Y187" s="105">
        <f t="shared" si="175"/>
        <v>0</v>
      </c>
      <c r="Z187" s="104">
        <f>15.9+23.8+35.8+17.6+9.2+10.8+63.4+35.2+10.4</f>
        <v>222.1</v>
      </c>
      <c r="AA187" s="105">
        <f t="shared" si="160"/>
        <v>5.5084745762711869</v>
      </c>
      <c r="AB187" s="105">
        <v>6.5</v>
      </c>
      <c r="AC187" s="105">
        <f t="shared" si="176"/>
        <v>1443.6499999999999</v>
      </c>
      <c r="AD187" s="105">
        <v>0</v>
      </c>
      <c r="AE187" s="105">
        <f t="shared" si="161"/>
        <v>4.2372881355932206</v>
      </c>
      <c r="AF187" s="105">
        <v>5</v>
      </c>
      <c r="AG187" s="105">
        <f t="shared" si="177"/>
        <v>0</v>
      </c>
      <c r="AH187" s="106">
        <v>0</v>
      </c>
      <c r="AI187" s="105">
        <f t="shared" si="162"/>
        <v>9.3220338983050848</v>
      </c>
      <c r="AJ187" s="116">
        <v>11</v>
      </c>
      <c r="AK187" s="105">
        <f t="shared" si="178"/>
        <v>0</v>
      </c>
      <c r="AL187" s="106">
        <v>17.8</v>
      </c>
      <c r="AM187" s="105">
        <f t="shared" si="179"/>
        <v>12.711864406779661</v>
      </c>
      <c r="AN187" s="105">
        <v>15</v>
      </c>
      <c r="AO187" s="105">
        <f t="shared" si="180"/>
        <v>267</v>
      </c>
      <c r="AP187" s="105">
        <f t="shared" si="166"/>
        <v>5584.9237288135591</v>
      </c>
      <c r="AQ187" s="105">
        <f t="shared" si="167"/>
        <v>6590.2099999999991</v>
      </c>
      <c r="AR187" s="106">
        <v>375</v>
      </c>
      <c r="AS187" s="105" t="s">
        <v>312</v>
      </c>
      <c r="AT187" s="107">
        <v>0</v>
      </c>
      <c r="AU187" s="107">
        <f t="shared" si="189"/>
        <v>5.0847457627118651</v>
      </c>
      <c r="AV187" s="107">
        <v>6</v>
      </c>
      <c r="AW187" s="107">
        <f t="shared" si="182"/>
        <v>1906.7796610169494</v>
      </c>
      <c r="AX187" s="107">
        <f t="shared" si="181"/>
        <v>2250</v>
      </c>
      <c r="AY187" s="108">
        <f t="shared" si="164"/>
        <v>7491.703389830509</v>
      </c>
      <c r="AZ187" s="109">
        <f t="shared" si="164"/>
        <v>8840.2099999999991</v>
      </c>
      <c r="BA187" s="9"/>
      <c r="BB187" s="9"/>
      <c r="BC187" s="9"/>
      <c r="BD187" s="9"/>
      <c r="BE187" s="45"/>
      <c r="BF187" s="45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</row>
    <row r="188" spans="1:93" s="4" customFormat="1" ht="45.75" outlineLevel="1" x14ac:dyDescent="0.25">
      <c r="A188" s="151" t="s">
        <v>241</v>
      </c>
      <c r="B188" s="152"/>
      <c r="C188" s="152"/>
      <c r="D188" s="110"/>
      <c r="E188" s="104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  <c r="AG188" s="110"/>
      <c r="AH188" s="110"/>
      <c r="AI188" s="110"/>
      <c r="AJ188" s="110"/>
      <c r="AK188" s="110"/>
      <c r="AL188" s="110"/>
      <c r="AM188" s="110"/>
      <c r="AN188" s="110"/>
      <c r="AO188" s="110"/>
      <c r="AP188" s="111"/>
      <c r="AQ188" s="128"/>
      <c r="AR188" s="110"/>
      <c r="AS188" s="105"/>
      <c r="AT188" s="110"/>
      <c r="AU188" s="110"/>
      <c r="AV188" s="110"/>
      <c r="AW188" s="110"/>
      <c r="AX188" s="110"/>
      <c r="AY188" s="111"/>
      <c r="AZ188" s="112"/>
      <c r="BA188" s="9"/>
      <c r="BB188" s="9"/>
      <c r="BC188" s="9"/>
      <c r="BD188" s="9"/>
      <c r="BE188" s="45"/>
      <c r="BF188" s="45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</row>
    <row r="189" spans="1:93" s="4" customFormat="1" ht="183" outlineLevel="1" x14ac:dyDescent="0.25">
      <c r="A189" s="100">
        <f>A187+1</f>
        <v>153</v>
      </c>
      <c r="B189" s="101" t="s">
        <v>256</v>
      </c>
      <c r="C189" s="102" t="s">
        <v>202</v>
      </c>
      <c r="D189" s="103" t="s">
        <v>19</v>
      </c>
      <c r="E189" s="104">
        <f t="shared" si="168"/>
        <v>4342.6499999999996</v>
      </c>
      <c r="F189" s="105">
        <v>0</v>
      </c>
      <c r="G189" s="105">
        <f t="shared" ref="G189:G201" si="222">H189/1.18</f>
        <v>16.949152542372882</v>
      </c>
      <c r="H189" s="105">
        <v>20</v>
      </c>
      <c r="I189" s="105">
        <f>H189*F189</f>
        <v>0</v>
      </c>
      <c r="J189" s="104">
        <v>1076.2</v>
      </c>
      <c r="K189" s="105">
        <f t="shared" ref="K189:K201" si="223">L189/1.18</f>
        <v>12.711864406779661</v>
      </c>
      <c r="L189" s="105">
        <v>15</v>
      </c>
      <c r="M189" s="105">
        <f>L189*J189</f>
        <v>16143</v>
      </c>
      <c r="N189" s="106">
        <v>1820.6</v>
      </c>
      <c r="O189" s="105">
        <f>P189/1.18</f>
        <v>6.6101694915254239</v>
      </c>
      <c r="P189" s="105">
        <v>7.8</v>
      </c>
      <c r="Q189" s="105">
        <f>P189*N189</f>
        <v>14200.679999999998</v>
      </c>
      <c r="R189" s="104">
        <v>0</v>
      </c>
      <c r="S189" s="105">
        <f>T189/1.18</f>
        <v>13.220338983050848</v>
      </c>
      <c r="T189" s="105">
        <v>15.6</v>
      </c>
      <c r="U189" s="105">
        <f>T189*R189</f>
        <v>0</v>
      </c>
      <c r="V189" s="105">
        <v>115.6</v>
      </c>
      <c r="W189" s="105">
        <f>X189/1.18</f>
        <v>5.9322033898305087</v>
      </c>
      <c r="X189" s="105">
        <v>7</v>
      </c>
      <c r="Y189" s="105">
        <f>X189*V189</f>
        <v>809.19999999999993</v>
      </c>
      <c r="Z189" s="104">
        <f>947.75+257</f>
        <v>1204.75</v>
      </c>
      <c r="AA189" s="105">
        <f t="shared" ref="AA189:AA201" si="224">AB189/1.18</f>
        <v>5.5084745762711869</v>
      </c>
      <c r="AB189" s="105">
        <v>6.5</v>
      </c>
      <c r="AC189" s="105">
        <f>AB189*Z189</f>
        <v>7830.875</v>
      </c>
      <c r="AD189" s="105">
        <v>0</v>
      </c>
      <c r="AE189" s="105">
        <f t="shared" ref="AE189:AE201" si="225">AF189/1.18</f>
        <v>4.2372881355932206</v>
      </c>
      <c r="AF189" s="105">
        <v>5</v>
      </c>
      <c r="AG189" s="105">
        <f>AF189*AD189</f>
        <v>0</v>
      </c>
      <c r="AH189" s="106">
        <v>50.1</v>
      </c>
      <c r="AI189" s="105">
        <f t="shared" ref="AI189:AI201" si="226">AJ189/1.18</f>
        <v>9.3220338983050848</v>
      </c>
      <c r="AJ189" s="116">
        <v>11</v>
      </c>
      <c r="AK189" s="105">
        <f>AJ189*AH189</f>
        <v>551.1</v>
      </c>
      <c r="AL189" s="106">
        <v>75.400000000000006</v>
      </c>
      <c r="AM189" s="105">
        <f>AN189/1.18</f>
        <v>12.711864406779661</v>
      </c>
      <c r="AN189" s="105">
        <v>15</v>
      </c>
      <c r="AO189" s="105">
        <f>AN189*AL189</f>
        <v>1131</v>
      </c>
      <c r="AP189" s="105">
        <f t="shared" si="166"/>
        <v>34462.588983050853</v>
      </c>
      <c r="AQ189" s="105">
        <f t="shared" si="167"/>
        <v>40665.855000000003</v>
      </c>
      <c r="AR189" s="106">
        <v>1060.5</v>
      </c>
      <c r="AS189" s="105" t="s">
        <v>312</v>
      </c>
      <c r="AT189" s="107">
        <v>0</v>
      </c>
      <c r="AU189" s="107">
        <f t="shared" ref="AU189:AU201" si="227">AV189/1.18</f>
        <v>5.0847457627118651</v>
      </c>
      <c r="AV189" s="107">
        <v>6</v>
      </c>
      <c r="AW189" s="107">
        <f>AU189*AR189</f>
        <v>5392.3728813559328</v>
      </c>
      <c r="AX189" s="107">
        <f>AV189*AR189</f>
        <v>6363</v>
      </c>
      <c r="AY189" s="108">
        <f t="shared" si="164"/>
        <v>39854.961864406789</v>
      </c>
      <c r="AZ189" s="109">
        <f t="shared" si="164"/>
        <v>47028.855000000003</v>
      </c>
      <c r="BA189" s="9"/>
      <c r="BB189" s="9"/>
      <c r="BC189" s="9"/>
      <c r="BD189" s="9"/>
      <c r="BE189" s="45"/>
      <c r="BF189" s="45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</row>
    <row r="190" spans="1:93" s="4" customFormat="1" ht="320.25" outlineLevel="1" x14ac:dyDescent="0.25">
      <c r="A190" s="100">
        <f>A189+1</f>
        <v>154</v>
      </c>
      <c r="B190" s="101" t="s">
        <v>252</v>
      </c>
      <c r="C190" s="102" t="s">
        <v>189</v>
      </c>
      <c r="D190" s="103" t="s">
        <v>19</v>
      </c>
      <c r="E190" s="104">
        <f t="shared" si="168"/>
        <v>790.20000000000016</v>
      </c>
      <c r="F190" s="105">
        <v>0</v>
      </c>
      <c r="G190" s="105">
        <f t="shared" si="222"/>
        <v>16.949152542372882</v>
      </c>
      <c r="H190" s="105">
        <v>20</v>
      </c>
      <c r="I190" s="105">
        <f>H190*F190</f>
        <v>0</v>
      </c>
      <c r="J190" s="104">
        <f>154.8</f>
        <v>154.80000000000001</v>
      </c>
      <c r="K190" s="105">
        <f t="shared" si="223"/>
        <v>12.711864406779661</v>
      </c>
      <c r="L190" s="105">
        <v>15</v>
      </c>
      <c r="M190" s="105">
        <f>L190*J190</f>
        <v>2322</v>
      </c>
      <c r="N190" s="106">
        <f>43.7+146.9+235.7</f>
        <v>426.3</v>
      </c>
      <c r="O190" s="105">
        <f>P190/1.18</f>
        <v>6.6101694915254239</v>
      </c>
      <c r="P190" s="105">
        <v>7.8</v>
      </c>
      <c r="Q190" s="105">
        <f>P190*N190</f>
        <v>3325.14</v>
      </c>
      <c r="R190" s="104">
        <v>58.2</v>
      </c>
      <c r="S190" s="105">
        <f>T190/1.18</f>
        <v>13.220338983050848</v>
      </c>
      <c r="T190" s="105">
        <v>15.6</v>
      </c>
      <c r="U190" s="105">
        <f>T190*R190</f>
        <v>907.92000000000007</v>
      </c>
      <c r="V190" s="105">
        <v>0</v>
      </c>
      <c r="W190" s="105">
        <f>X190/1.18</f>
        <v>5.9322033898305087</v>
      </c>
      <c r="X190" s="105">
        <v>7</v>
      </c>
      <c r="Y190" s="105">
        <f>X190*V190</f>
        <v>0</v>
      </c>
      <c r="Z190" s="104">
        <f>15.8+28.8+28.8+43.4+16</f>
        <v>132.80000000000001</v>
      </c>
      <c r="AA190" s="105">
        <f t="shared" si="224"/>
        <v>5.5084745762711869</v>
      </c>
      <c r="AB190" s="105">
        <v>6.5</v>
      </c>
      <c r="AC190" s="105">
        <f>AB190*Z190</f>
        <v>863.2</v>
      </c>
      <c r="AD190" s="105">
        <v>0</v>
      </c>
      <c r="AE190" s="105">
        <f t="shared" si="225"/>
        <v>4.2372881355932206</v>
      </c>
      <c r="AF190" s="105">
        <v>5</v>
      </c>
      <c r="AG190" s="105">
        <f>AF190*AD190</f>
        <v>0</v>
      </c>
      <c r="AH190" s="106">
        <v>0</v>
      </c>
      <c r="AI190" s="105">
        <f t="shared" si="226"/>
        <v>9.3220338983050848</v>
      </c>
      <c r="AJ190" s="116">
        <v>11</v>
      </c>
      <c r="AK190" s="105">
        <f>AJ190*AH190</f>
        <v>0</v>
      </c>
      <c r="AL190" s="106">
        <v>18.100000000000001</v>
      </c>
      <c r="AM190" s="105">
        <f>AN190/1.18</f>
        <v>12.711864406779661</v>
      </c>
      <c r="AN190" s="105">
        <v>15</v>
      </c>
      <c r="AO190" s="105">
        <f>AN190*AL190</f>
        <v>271.5</v>
      </c>
      <c r="AP190" s="105">
        <f t="shared" si="166"/>
        <v>6516.7457627118638</v>
      </c>
      <c r="AQ190" s="105">
        <f t="shared" si="167"/>
        <v>7689.7599999999993</v>
      </c>
      <c r="AR190" s="106">
        <f>460*2</f>
        <v>920</v>
      </c>
      <c r="AS190" s="105" t="s">
        <v>312</v>
      </c>
      <c r="AT190" s="107">
        <v>0</v>
      </c>
      <c r="AU190" s="107">
        <f t="shared" si="227"/>
        <v>5.0847457627118651</v>
      </c>
      <c r="AV190" s="107">
        <v>6</v>
      </c>
      <c r="AW190" s="107">
        <f>AU190*AR190</f>
        <v>4677.9661016949158</v>
      </c>
      <c r="AX190" s="107">
        <f>AV190*AR190</f>
        <v>5520</v>
      </c>
      <c r="AY190" s="108">
        <f t="shared" si="164"/>
        <v>11194.71186440678</v>
      </c>
      <c r="AZ190" s="109">
        <f t="shared" si="164"/>
        <v>13209.759999999998</v>
      </c>
      <c r="BA190" s="9"/>
      <c r="BB190" s="9"/>
      <c r="BC190" s="9"/>
      <c r="BD190" s="9"/>
      <c r="BE190" s="45"/>
      <c r="BF190" s="45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</row>
    <row r="191" spans="1:93" s="4" customFormat="1" ht="45.75" outlineLevel="1" x14ac:dyDescent="0.25">
      <c r="A191" s="151" t="s">
        <v>240</v>
      </c>
      <c r="B191" s="152"/>
      <c r="C191" s="152"/>
      <c r="D191" s="110"/>
      <c r="E191" s="104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  <c r="AH191" s="110"/>
      <c r="AI191" s="110"/>
      <c r="AJ191" s="110"/>
      <c r="AK191" s="110"/>
      <c r="AL191" s="110"/>
      <c r="AM191" s="110"/>
      <c r="AN191" s="110"/>
      <c r="AO191" s="110"/>
      <c r="AP191" s="111"/>
      <c r="AQ191" s="111"/>
      <c r="AR191" s="110"/>
      <c r="AS191" s="105"/>
      <c r="AT191" s="110"/>
      <c r="AU191" s="110"/>
      <c r="AV191" s="110"/>
      <c r="AW191" s="110"/>
      <c r="AX191" s="110"/>
      <c r="AY191" s="111"/>
      <c r="AZ191" s="112"/>
      <c r="BA191" s="9"/>
      <c r="BB191" s="9"/>
      <c r="BC191" s="9"/>
      <c r="BD191" s="9"/>
      <c r="BE191" s="45"/>
      <c r="BF191" s="45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</row>
    <row r="192" spans="1:93" s="4" customFormat="1" ht="183" outlineLevel="1" x14ac:dyDescent="0.25">
      <c r="A192" s="100">
        <f>A190+1</f>
        <v>155</v>
      </c>
      <c r="B192" s="101" t="s">
        <v>252</v>
      </c>
      <c r="C192" s="102" t="s">
        <v>195</v>
      </c>
      <c r="D192" s="103" t="s">
        <v>19</v>
      </c>
      <c r="E192" s="104">
        <f t="shared" si="168"/>
        <v>4854.9999999999991</v>
      </c>
      <c r="F192" s="105">
        <v>0</v>
      </c>
      <c r="G192" s="105">
        <f t="shared" si="222"/>
        <v>16.949152542372882</v>
      </c>
      <c r="H192" s="105">
        <v>20</v>
      </c>
      <c r="I192" s="105">
        <f t="shared" ref="I192:I197" si="228">H192*F192</f>
        <v>0</v>
      </c>
      <c r="J192" s="104">
        <f>707.1+157.5</f>
        <v>864.6</v>
      </c>
      <c r="K192" s="105">
        <f t="shared" si="223"/>
        <v>12.711864406779661</v>
      </c>
      <c r="L192" s="105">
        <v>15</v>
      </c>
      <c r="M192" s="105">
        <f t="shared" ref="M192:M197" si="229">L192*J192</f>
        <v>12969</v>
      </c>
      <c r="N192" s="106">
        <v>1678.1</v>
      </c>
      <c r="O192" s="105">
        <f t="shared" ref="O192:O197" si="230">P192/1.18</f>
        <v>6.6101694915254239</v>
      </c>
      <c r="P192" s="105">
        <v>7.8</v>
      </c>
      <c r="Q192" s="105">
        <f t="shared" ref="Q192:Q197" si="231">P192*N192</f>
        <v>13089.179999999998</v>
      </c>
      <c r="R192" s="104">
        <v>115.6</v>
      </c>
      <c r="S192" s="105">
        <f t="shared" ref="S192:S197" si="232">T192/1.18</f>
        <v>13.220338983050848</v>
      </c>
      <c r="T192" s="105">
        <v>15.6</v>
      </c>
      <c r="U192" s="105">
        <f t="shared" ref="U192:U197" si="233">T192*R192</f>
        <v>1803.36</v>
      </c>
      <c r="V192" s="105">
        <v>111.8</v>
      </c>
      <c r="W192" s="105">
        <f>X192/1.18</f>
        <v>5.9322033898305087</v>
      </c>
      <c r="X192" s="105">
        <v>7</v>
      </c>
      <c r="Y192" s="105">
        <f t="shared" ref="Y192:Y197" si="234">X192*V192</f>
        <v>782.6</v>
      </c>
      <c r="Z192" s="104">
        <f>1727.1+150</f>
        <v>1877.1</v>
      </c>
      <c r="AA192" s="105">
        <f t="shared" si="224"/>
        <v>5.5084745762711869</v>
      </c>
      <c r="AB192" s="105">
        <v>6.5</v>
      </c>
      <c r="AC192" s="105">
        <f t="shared" ref="AC192:AC197" si="235">AB192*Z192</f>
        <v>12201.15</v>
      </c>
      <c r="AD192" s="105">
        <v>0</v>
      </c>
      <c r="AE192" s="105">
        <f t="shared" si="225"/>
        <v>4.2372881355932206</v>
      </c>
      <c r="AF192" s="105">
        <v>5</v>
      </c>
      <c r="AG192" s="105">
        <f t="shared" ref="AG192:AG197" si="236">AF192*AD192</f>
        <v>0</v>
      </c>
      <c r="AH192" s="106">
        <f>155.5+0.4</f>
        <v>155.9</v>
      </c>
      <c r="AI192" s="105">
        <f t="shared" si="226"/>
        <v>9.3220338983050848</v>
      </c>
      <c r="AJ192" s="116">
        <v>11</v>
      </c>
      <c r="AK192" s="105">
        <f t="shared" ref="AK192:AK197" si="237">AJ192*AH192</f>
        <v>1714.9</v>
      </c>
      <c r="AL192" s="106">
        <v>51.9</v>
      </c>
      <c r="AM192" s="105">
        <f t="shared" ref="AM192:AM197" si="238">AN192/1.18</f>
        <v>12.711864406779661</v>
      </c>
      <c r="AN192" s="105">
        <v>15</v>
      </c>
      <c r="AO192" s="105">
        <f t="shared" ref="AO192:AO197" si="239">AN192*AL192</f>
        <v>778.5</v>
      </c>
      <c r="AP192" s="105">
        <f t="shared" si="166"/>
        <v>36727.703389830509</v>
      </c>
      <c r="AQ192" s="105">
        <f t="shared" si="167"/>
        <v>43338.69</v>
      </c>
      <c r="AR192" s="106">
        <f>300*5</f>
        <v>1500</v>
      </c>
      <c r="AS192" s="105" t="s">
        <v>312</v>
      </c>
      <c r="AT192" s="107">
        <v>0</v>
      </c>
      <c r="AU192" s="107">
        <f t="shared" si="227"/>
        <v>5.0847457627118651</v>
      </c>
      <c r="AV192" s="107">
        <v>6</v>
      </c>
      <c r="AW192" s="107">
        <f t="shared" ref="AW192:AW197" si="240">AU192*AR192</f>
        <v>7627.1186440677975</v>
      </c>
      <c r="AX192" s="107">
        <f t="shared" ref="AX192:AX197" si="241">AV192*AR192</f>
        <v>9000</v>
      </c>
      <c r="AY192" s="108">
        <f t="shared" si="164"/>
        <v>44354.822033898308</v>
      </c>
      <c r="AZ192" s="109">
        <f t="shared" si="164"/>
        <v>52338.69</v>
      </c>
      <c r="BA192" s="9"/>
      <c r="BB192" s="9"/>
      <c r="BC192" s="9"/>
      <c r="BD192" s="9"/>
      <c r="BE192" s="45"/>
      <c r="BF192" s="45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</row>
    <row r="193" spans="1:93" s="4" customFormat="1" ht="228.75" outlineLevel="1" x14ac:dyDescent="0.25">
      <c r="A193" s="100">
        <f>A192+1</f>
        <v>156</v>
      </c>
      <c r="B193" s="101" t="s">
        <v>252</v>
      </c>
      <c r="C193" s="102" t="s">
        <v>196</v>
      </c>
      <c r="D193" s="103" t="s">
        <v>19</v>
      </c>
      <c r="E193" s="104">
        <f t="shared" si="168"/>
        <v>98.299999999999983</v>
      </c>
      <c r="F193" s="105">
        <v>0</v>
      </c>
      <c r="G193" s="105">
        <f t="shared" si="222"/>
        <v>16.949152542372882</v>
      </c>
      <c r="H193" s="105">
        <v>20</v>
      </c>
      <c r="I193" s="105">
        <f t="shared" si="228"/>
        <v>0</v>
      </c>
      <c r="J193" s="104">
        <v>0</v>
      </c>
      <c r="K193" s="105">
        <f t="shared" si="223"/>
        <v>12.711864406779661</v>
      </c>
      <c r="L193" s="105">
        <v>15</v>
      </c>
      <c r="M193" s="105">
        <f t="shared" si="229"/>
        <v>0</v>
      </c>
      <c r="N193" s="106">
        <v>10.1</v>
      </c>
      <c r="O193" s="105">
        <f t="shared" si="230"/>
        <v>6.6101694915254239</v>
      </c>
      <c r="P193" s="105">
        <v>7.8</v>
      </c>
      <c r="Q193" s="105">
        <f t="shared" si="231"/>
        <v>78.78</v>
      </c>
      <c r="R193" s="104">
        <v>0</v>
      </c>
      <c r="S193" s="105">
        <f t="shared" si="232"/>
        <v>13.220338983050848</v>
      </c>
      <c r="T193" s="105">
        <v>15.6</v>
      </c>
      <c r="U193" s="105">
        <f t="shared" si="233"/>
        <v>0</v>
      </c>
      <c r="V193" s="105">
        <v>0</v>
      </c>
      <c r="W193" s="105">
        <f>X193/1.18</f>
        <v>5.9322033898305087</v>
      </c>
      <c r="X193" s="105">
        <v>7</v>
      </c>
      <c r="Y193" s="105">
        <f t="shared" si="234"/>
        <v>0</v>
      </c>
      <c r="Z193" s="104">
        <f>35.2+47.9</f>
        <v>83.1</v>
      </c>
      <c r="AA193" s="105">
        <f t="shared" si="224"/>
        <v>5.5084745762711869</v>
      </c>
      <c r="AB193" s="105">
        <v>6.5</v>
      </c>
      <c r="AC193" s="105">
        <f t="shared" si="235"/>
        <v>540.15</v>
      </c>
      <c r="AD193" s="105">
        <v>0</v>
      </c>
      <c r="AE193" s="105">
        <f t="shared" si="225"/>
        <v>4.2372881355932206</v>
      </c>
      <c r="AF193" s="105">
        <v>5</v>
      </c>
      <c r="AG193" s="105">
        <f t="shared" si="236"/>
        <v>0</v>
      </c>
      <c r="AH193" s="106">
        <v>0</v>
      </c>
      <c r="AI193" s="105">
        <f t="shared" si="226"/>
        <v>9.3220338983050848</v>
      </c>
      <c r="AJ193" s="116">
        <v>11</v>
      </c>
      <c r="AK193" s="105">
        <f t="shared" si="237"/>
        <v>0</v>
      </c>
      <c r="AL193" s="106">
        <v>5.0999999999999996</v>
      </c>
      <c r="AM193" s="105">
        <f t="shared" si="238"/>
        <v>12.711864406779661</v>
      </c>
      <c r="AN193" s="105">
        <v>15</v>
      </c>
      <c r="AO193" s="105">
        <f t="shared" si="239"/>
        <v>76.5</v>
      </c>
      <c r="AP193" s="105">
        <f t="shared" si="166"/>
        <v>589.34745762711862</v>
      </c>
      <c r="AQ193" s="105">
        <f t="shared" si="167"/>
        <v>695.43</v>
      </c>
      <c r="AR193" s="106">
        <v>841</v>
      </c>
      <c r="AS193" s="105" t="s">
        <v>312</v>
      </c>
      <c r="AT193" s="107">
        <v>0</v>
      </c>
      <c r="AU193" s="107">
        <f t="shared" si="227"/>
        <v>5.0847457627118651</v>
      </c>
      <c r="AV193" s="107">
        <v>6</v>
      </c>
      <c r="AW193" s="107">
        <f t="shared" si="240"/>
        <v>4276.2711864406783</v>
      </c>
      <c r="AX193" s="107">
        <f t="shared" si="241"/>
        <v>5046</v>
      </c>
      <c r="AY193" s="108">
        <f t="shared" si="164"/>
        <v>4865.6186440677966</v>
      </c>
      <c r="AZ193" s="109">
        <f t="shared" si="164"/>
        <v>5741.43</v>
      </c>
      <c r="BA193" s="9"/>
      <c r="BB193" s="9"/>
      <c r="BC193" s="9"/>
      <c r="BD193" s="9"/>
      <c r="BE193" s="45"/>
      <c r="BF193" s="45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</row>
    <row r="194" spans="1:93" s="4" customFormat="1" ht="183" outlineLevel="1" x14ac:dyDescent="0.25">
      <c r="A194" s="100">
        <f t="shared" ref="A194:A197" si="242">A193+1</f>
        <v>157</v>
      </c>
      <c r="B194" s="101" t="s">
        <v>252</v>
      </c>
      <c r="C194" s="102" t="s">
        <v>197</v>
      </c>
      <c r="D194" s="103" t="s">
        <v>19</v>
      </c>
      <c r="E194" s="104">
        <f t="shared" si="168"/>
        <v>390.70000000000005</v>
      </c>
      <c r="F194" s="105">
        <v>0</v>
      </c>
      <c r="G194" s="105">
        <f t="shared" si="222"/>
        <v>16.949152542372882</v>
      </c>
      <c r="H194" s="105">
        <v>20</v>
      </c>
      <c r="I194" s="105">
        <f t="shared" si="228"/>
        <v>0</v>
      </c>
      <c r="J194" s="104">
        <v>0</v>
      </c>
      <c r="K194" s="105">
        <f t="shared" si="223"/>
        <v>12.711864406779661</v>
      </c>
      <c r="L194" s="105">
        <v>15</v>
      </c>
      <c r="M194" s="105">
        <f t="shared" si="229"/>
        <v>0</v>
      </c>
      <c r="N194" s="106">
        <f>108.9+34.9</f>
        <v>143.80000000000001</v>
      </c>
      <c r="O194" s="105">
        <f t="shared" si="230"/>
        <v>6.6101694915254239</v>
      </c>
      <c r="P194" s="105">
        <v>7.8</v>
      </c>
      <c r="Q194" s="105">
        <f t="shared" si="231"/>
        <v>1121.6400000000001</v>
      </c>
      <c r="R194" s="104">
        <v>0</v>
      </c>
      <c r="S194" s="105">
        <f t="shared" si="232"/>
        <v>13.220338983050848</v>
      </c>
      <c r="T194" s="105">
        <v>15.6</v>
      </c>
      <c r="U194" s="105">
        <f t="shared" si="233"/>
        <v>0</v>
      </c>
      <c r="V194" s="105">
        <v>238.9</v>
      </c>
      <c r="W194" s="105">
        <f>X194/1.18</f>
        <v>5.9322033898305087</v>
      </c>
      <c r="X194" s="105">
        <v>7</v>
      </c>
      <c r="Y194" s="105">
        <f t="shared" si="234"/>
        <v>1672.3</v>
      </c>
      <c r="Z194" s="104">
        <v>4</v>
      </c>
      <c r="AA194" s="105">
        <f t="shared" si="224"/>
        <v>5.5084745762711869</v>
      </c>
      <c r="AB194" s="105">
        <v>6.5</v>
      </c>
      <c r="AC194" s="105">
        <f t="shared" si="235"/>
        <v>26</v>
      </c>
      <c r="AD194" s="105">
        <v>0</v>
      </c>
      <c r="AE194" s="105">
        <f t="shared" si="225"/>
        <v>4.2372881355932206</v>
      </c>
      <c r="AF194" s="105">
        <v>5</v>
      </c>
      <c r="AG194" s="105">
        <f t="shared" si="236"/>
        <v>0</v>
      </c>
      <c r="AH194" s="106">
        <v>0</v>
      </c>
      <c r="AI194" s="105">
        <f t="shared" si="226"/>
        <v>9.3220338983050848</v>
      </c>
      <c r="AJ194" s="116">
        <v>11</v>
      </c>
      <c r="AK194" s="105">
        <f t="shared" si="237"/>
        <v>0</v>
      </c>
      <c r="AL194" s="106">
        <v>4</v>
      </c>
      <c r="AM194" s="105">
        <f t="shared" si="238"/>
        <v>12.711864406779661</v>
      </c>
      <c r="AN194" s="105">
        <v>15</v>
      </c>
      <c r="AO194" s="105">
        <f t="shared" si="239"/>
        <v>60</v>
      </c>
      <c r="AP194" s="105">
        <f t="shared" si="166"/>
        <v>2440.6271186440681</v>
      </c>
      <c r="AQ194" s="105">
        <f t="shared" si="167"/>
        <v>2879.94</v>
      </c>
      <c r="AR194" s="106">
        <v>0</v>
      </c>
      <c r="AS194" s="105" t="s">
        <v>312</v>
      </c>
      <c r="AT194" s="107">
        <v>0</v>
      </c>
      <c r="AU194" s="107">
        <f t="shared" si="227"/>
        <v>5.0847457627118651</v>
      </c>
      <c r="AV194" s="107">
        <v>6</v>
      </c>
      <c r="AW194" s="107">
        <f t="shared" si="240"/>
        <v>0</v>
      </c>
      <c r="AX194" s="107">
        <f t="shared" si="241"/>
        <v>0</v>
      </c>
      <c r="AY194" s="108">
        <f t="shared" si="164"/>
        <v>2440.6271186440681</v>
      </c>
      <c r="AZ194" s="109">
        <f t="shared" si="164"/>
        <v>2879.94</v>
      </c>
      <c r="BA194" s="9"/>
      <c r="BB194" s="9"/>
      <c r="BC194" s="9"/>
      <c r="BD194" s="9"/>
      <c r="BE194" s="45"/>
      <c r="BF194" s="45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</row>
    <row r="195" spans="1:93" s="4" customFormat="1" ht="228.75" outlineLevel="1" x14ac:dyDescent="0.25">
      <c r="A195" s="100">
        <f t="shared" si="242"/>
        <v>158</v>
      </c>
      <c r="B195" s="101" t="s">
        <v>252</v>
      </c>
      <c r="C195" s="102" t="s">
        <v>198</v>
      </c>
      <c r="D195" s="103" t="s">
        <v>19</v>
      </c>
      <c r="E195" s="104">
        <f t="shared" si="168"/>
        <v>734.30000000000007</v>
      </c>
      <c r="F195" s="105">
        <v>0</v>
      </c>
      <c r="G195" s="105">
        <f t="shared" si="222"/>
        <v>16.949152542372882</v>
      </c>
      <c r="H195" s="105">
        <v>20</v>
      </c>
      <c r="I195" s="105">
        <f t="shared" si="228"/>
        <v>0</v>
      </c>
      <c r="J195" s="104">
        <v>0</v>
      </c>
      <c r="K195" s="105">
        <f t="shared" si="223"/>
        <v>12.711864406779661</v>
      </c>
      <c r="L195" s="105">
        <v>15</v>
      </c>
      <c r="M195" s="105">
        <f t="shared" si="229"/>
        <v>0</v>
      </c>
      <c r="N195" s="106">
        <f>173+74.9+90.7+22</f>
        <v>360.6</v>
      </c>
      <c r="O195" s="105">
        <f t="shared" si="230"/>
        <v>6.6101694915254239</v>
      </c>
      <c r="P195" s="105">
        <v>7.8</v>
      </c>
      <c r="Q195" s="105">
        <f t="shared" si="231"/>
        <v>2812.6800000000003</v>
      </c>
      <c r="R195" s="104">
        <v>0</v>
      </c>
      <c r="S195" s="105">
        <f t="shared" si="232"/>
        <v>13.220338983050848</v>
      </c>
      <c r="T195" s="105">
        <v>15.6</v>
      </c>
      <c r="U195" s="105">
        <f t="shared" si="233"/>
        <v>0</v>
      </c>
      <c r="V195" s="105">
        <v>0</v>
      </c>
      <c r="W195" s="105">
        <v>4.2</v>
      </c>
      <c r="X195" s="105">
        <v>7</v>
      </c>
      <c r="Y195" s="105">
        <f t="shared" si="234"/>
        <v>0</v>
      </c>
      <c r="Z195" s="104">
        <f>126+103+81.5+48.8</f>
        <v>359.3</v>
      </c>
      <c r="AA195" s="105">
        <f t="shared" si="224"/>
        <v>5.5084745762711869</v>
      </c>
      <c r="AB195" s="105">
        <v>6.5</v>
      </c>
      <c r="AC195" s="105">
        <f t="shared" si="235"/>
        <v>2335.4500000000003</v>
      </c>
      <c r="AD195" s="105">
        <v>0</v>
      </c>
      <c r="AE195" s="105">
        <f t="shared" si="225"/>
        <v>4.2372881355932206</v>
      </c>
      <c r="AF195" s="105">
        <v>5</v>
      </c>
      <c r="AG195" s="105">
        <f t="shared" si="236"/>
        <v>0</v>
      </c>
      <c r="AH195" s="106">
        <v>0</v>
      </c>
      <c r="AI195" s="105">
        <f t="shared" si="226"/>
        <v>9.3220338983050848</v>
      </c>
      <c r="AJ195" s="116">
        <v>11</v>
      </c>
      <c r="AK195" s="105">
        <f t="shared" si="237"/>
        <v>0</v>
      </c>
      <c r="AL195" s="106">
        <v>14.4</v>
      </c>
      <c r="AM195" s="105">
        <f t="shared" si="238"/>
        <v>12.711864406779661</v>
      </c>
      <c r="AN195" s="105">
        <v>15</v>
      </c>
      <c r="AO195" s="105">
        <f t="shared" si="239"/>
        <v>216</v>
      </c>
      <c r="AP195" s="105">
        <f t="shared" si="166"/>
        <v>4545.8728813559337</v>
      </c>
      <c r="AQ195" s="105">
        <f t="shared" si="167"/>
        <v>5364.130000000001</v>
      </c>
      <c r="AR195" s="106">
        <v>250</v>
      </c>
      <c r="AS195" s="105" t="s">
        <v>312</v>
      </c>
      <c r="AT195" s="107">
        <v>0</v>
      </c>
      <c r="AU195" s="107">
        <f t="shared" si="227"/>
        <v>5.0847457627118651</v>
      </c>
      <c r="AV195" s="107">
        <v>6</v>
      </c>
      <c r="AW195" s="107">
        <f t="shared" si="240"/>
        <v>1271.1864406779662</v>
      </c>
      <c r="AX195" s="107">
        <f t="shared" si="241"/>
        <v>1500</v>
      </c>
      <c r="AY195" s="108">
        <f t="shared" si="164"/>
        <v>5817.0593220338997</v>
      </c>
      <c r="AZ195" s="109">
        <f t="shared" si="164"/>
        <v>6864.130000000001</v>
      </c>
      <c r="BA195" s="9"/>
      <c r="BB195" s="9"/>
      <c r="BC195" s="9"/>
      <c r="BD195" s="9"/>
      <c r="BE195" s="45"/>
      <c r="BF195" s="45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</row>
    <row r="196" spans="1:93" s="4" customFormat="1" ht="228.75" outlineLevel="1" x14ac:dyDescent="0.25">
      <c r="A196" s="100">
        <f t="shared" si="242"/>
        <v>159</v>
      </c>
      <c r="B196" s="101" t="s">
        <v>252</v>
      </c>
      <c r="C196" s="102" t="s">
        <v>199</v>
      </c>
      <c r="D196" s="103" t="s">
        <v>19</v>
      </c>
      <c r="E196" s="104">
        <f t="shared" si="168"/>
        <v>192.9</v>
      </c>
      <c r="F196" s="105">
        <v>0</v>
      </c>
      <c r="G196" s="105">
        <f t="shared" si="222"/>
        <v>16.949152542372882</v>
      </c>
      <c r="H196" s="105">
        <v>20</v>
      </c>
      <c r="I196" s="105">
        <f t="shared" si="228"/>
        <v>0</v>
      </c>
      <c r="J196" s="104">
        <v>0</v>
      </c>
      <c r="K196" s="105">
        <f t="shared" si="223"/>
        <v>12.711864406779661</v>
      </c>
      <c r="L196" s="105">
        <v>15</v>
      </c>
      <c r="M196" s="105">
        <f t="shared" si="229"/>
        <v>0</v>
      </c>
      <c r="N196" s="106">
        <f>38.4+18+16.9</f>
        <v>73.3</v>
      </c>
      <c r="O196" s="105">
        <f t="shared" si="230"/>
        <v>6.6101694915254239</v>
      </c>
      <c r="P196" s="105">
        <v>7.8</v>
      </c>
      <c r="Q196" s="105">
        <f t="shared" si="231"/>
        <v>571.74</v>
      </c>
      <c r="R196" s="104">
        <v>0</v>
      </c>
      <c r="S196" s="105">
        <f t="shared" si="232"/>
        <v>13.220338983050848</v>
      </c>
      <c r="T196" s="105">
        <v>15.6</v>
      </c>
      <c r="U196" s="105">
        <f t="shared" si="233"/>
        <v>0</v>
      </c>
      <c r="V196" s="105">
        <v>0</v>
      </c>
      <c r="W196" s="105">
        <f>X196/1.18</f>
        <v>5.9322033898305087</v>
      </c>
      <c r="X196" s="105">
        <v>7</v>
      </c>
      <c r="Y196" s="105">
        <f t="shared" si="234"/>
        <v>0</v>
      </c>
      <c r="Z196" s="104">
        <f>5.6+11.8+91.1+7.8</f>
        <v>116.3</v>
      </c>
      <c r="AA196" s="105">
        <f t="shared" si="224"/>
        <v>5.5084745762711869</v>
      </c>
      <c r="AB196" s="105">
        <v>6.5</v>
      </c>
      <c r="AC196" s="105">
        <f t="shared" si="235"/>
        <v>755.94999999999993</v>
      </c>
      <c r="AD196" s="105">
        <v>0</v>
      </c>
      <c r="AE196" s="105">
        <f t="shared" si="225"/>
        <v>4.2372881355932206</v>
      </c>
      <c r="AF196" s="105">
        <v>5</v>
      </c>
      <c r="AG196" s="105">
        <f t="shared" si="236"/>
        <v>0</v>
      </c>
      <c r="AH196" s="106">
        <v>0</v>
      </c>
      <c r="AI196" s="105">
        <f t="shared" si="226"/>
        <v>9.3220338983050848</v>
      </c>
      <c r="AJ196" s="116">
        <v>11</v>
      </c>
      <c r="AK196" s="105">
        <f t="shared" si="237"/>
        <v>0</v>
      </c>
      <c r="AL196" s="106">
        <v>3.3</v>
      </c>
      <c r="AM196" s="105">
        <f t="shared" si="238"/>
        <v>12.711864406779661</v>
      </c>
      <c r="AN196" s="105">
        <v>15</v>
      </c>
      <c r="AO196" s="105">
        <f t="shared" si="239"/>
        <v>49.5</v>
      </c>
      <c r="AP196" s="105">
        <f t="shared" si="166"/>
        <v>1167.1101694915255</v>
      </c>
      <c r="AQ196" s="105">
        <f t="shared" si="167"/>
        <v>1377.19</v>
      </c>
      <c r="AR196" s="106">
        <v>510</v>
      </c>
      <c r="AS196" s="105" t="s">
        <v>312</v>
      </c>
      <c r="AT196" s="107">
        <v>0</v>
      </c>
      <c r="AU196" s="107">
        <f t="shared" si="227"/>
        <v>5.0847457627118651</v>
      </c>
      <c r="AV196" s="107">
        <v>6</v>
      </c>
      <c r="AW196" s="107">
        <f t="shared" si="240"/>
        <v>2593.2203389830511</v>
      </c>
      <c r="AX196" s="107">
        <f t="shared" si="241"/>
        <v>3060</v>
      </c>
      <c r="AY196" s="108">
        <f t="shared" si="164"/>
        <v>3760.3305084745766</v>
      </c>
      <c r="AZ196" s="109">
        <f t="shared" si="164"/>
        <v>4437.1900000000005</v>
      </c>
      <c r="BA196" s="9"/>
      <c r="BB196" s="9"/>
      <c r="BC196" s="9"/>
      <c r="BD196" s="9"/>
      <c r="BE196" s="45"/>
      <c r="BF196" s="45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</row>
    <row r="197" spans="1:93" s="4" customFormat="1" ht="183" outlineLevel="1" x14ac:dyDescent="0.25">
      <c r="A197" s="100">
        <f t="shared" si="242"/>
        <v>160</v>
      </c>
      <c r="B197" s="101" t="s">
        <v>252</v>
      </c>
      <c r="C197" s="102" t="s">
        <v>200</v>
      </c>
      <c r="D197" s="103" t="s">
        <v>19</v>
      </c>
      <c r="E197" s="104">
        <f t="shared" si="168"/>
        <v>69.5</v>
      </c>
      <c r="F197" s="105">
        <v>0</v>
      </c>
      <c r="G197" s="105">
        <f t="shared" si="222"/>
        <v>16.949152542372882</v>
      </c>
      <c r="H197" s="105">
        <v>20</v>
      </c>
      <c r="I197" s="105">
        <f t="shared" si="228"/>
        <v>0</v>
      </c>
      <c r="J197" s="104">
        <v>0</v>
      </c>
      <c r="K197" s="105">
        <f t="shared" si="223"/>
        <v>12.711864406779661</v>
      </c>
      <c r="L197" s="105">
        <v>15</v>
      </c>
      <c r="M197" s="105">
        <f t="shared" si="229"/>
        <v>0</v>
      </c>
      <c r="N197" s="106">
        <f>47.5+22</f>
        <v>69.5</v>
      </c>
      <c r="O197" s="105">
        <f t="shared" si="230"/>
        <v>6.6101694915254239</v>
      </c>
      <c r="P197" s="105">
        <v>7.8</v>
      </c>
      <c r="Q197" s="105">
        <f t="shared" si="231"/>
        <v>542.1</v>
      </c>
      <c r="R197" s="104">
        <v>0</v>
      </c>
      <c r="S197" s="105">
        <f t="shared" si="232"/>
        <v>13.220338983050848</v>
      </c>
      <c r="T197" s="105">
        <v>15.6</v>
      </c>
      <c r="U197" s="105">
        <f t="shared" si="233"/>
        <v>0</v>
      </c>
      <c r="V197" s="105">
        <v>0</v>
      </c>
      <c r="W197" s="105">
        <f>X197/1.18</f>
        <v>5.9322033898305087</v>
      </c>
      <c r="X197" s="105">
        <v>7</v>
      </c>
      <c r="Y197" s="105">
        <f t="shared" si="234"/>
        <v>0</v>
      </c>
      <c r="Z197" s="104">
        <v>0</v>
      </c>
      <c r="AA197" s="105">
        <f t="shared" si="224"/>
        <v>5.5084745762711869</v>
      </c>
      <c r="AB197" s="105">
        <v>6.5</v>
      </c>
      <c r="AC197" s="105">
        <f t="shared" si="235"/>
        <v>0</v>
      </c>
      <c r="AD197" s="105">
        <v>0</v>
      </c>
      <c r="AE197" s="105">
        <f t="shared" si="225"/>
        <v>4.2372881355932206</v>
      </c>
      <c r="AF197" s="105">
        <v>5</v>
      </c>
      <c r="AG197" s="105">
        <f t="shared" si="236"/>
        <v>0</v>
      </c>
      <c r="AH197" s="106">
        <v>0</v>
      </c>
      <c r="AI197" s="105">
        <f t="shared" si="226"/>
        <v>9.3220338983050848</v>
      </c>
      <c r="AJ197" s="116">
        <v>11</v>
      </c>
      <c r="AK197" s="105">
        <f t="shared" si="237"/>
        <v>0</v>
      </c>
      <c r="AL197" s="106">
        <v>0</v>
      </c>
      <c r="AM197" s="105">
        <f t="shared" si="238"/>
        <v>12.711864406779661</v>
      </c>
      <c r="AN197" s="105">
        <v>15</v>
      </c>
      <c r="AO197" s="105">
        <f t="shared" si="239"/>
        <v>0</v>
      </c>
      <c r="AP197" s="105">
        <f t="shared" si="166"/>
        <v>459.40677966101697</v>
      </c>
      <c r="AQ197" s="105">
        <f t="shared" si="167"/>
        <v>542.1</v>
      </c>
      <c r="AR197" s="106">
        <v>0</v>
      </c>
      <c r="AS197" s="105" t="s">
        <v>312</v>
      </c>
      <c r="AT197" s="107">
        <v>0</v>
      </c>
      <c r="AU197" s="107">
        <f t="shared" si="227"/>
        <v>5.0847457627118651</v>
      </c>
      <c r="AV197" s="107">
        <v>6</v>
      </c>
      <c r="AW197" s="107">
        <f t="shared" si="240"/>
        <v>0</v>
      </c>
      <c r="AX197" s="107">
        <f t="shared" si="241"/>
        <v>0</v>
      </c>
      <c r="AY197" s="108">
        <f t="shared" si="164"/>
        <v>459.40677966101697</v>
      </c>
      <c r="AZ197" s="109">
        <f t="shared" si="164"/>
        <v>542.1</v>
      </c>
      <c r="BA197" s="9"/>
      <c r="BB197" s="9"/>
      <c r="BC197" s="9"/>
      <c r="BD197" s="9"/>
      <c r="BE197" s="45"/>
      <c r="BF197" s="45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</row>
    <row r="198" spans="1:93" s="5" customFormat="1" ht="45.75" outlineLevel="1" x14ac:dyDescent="0.25">
      <c r="A198" s="151" t="s">
        <v>242</v>
      </c>
      <c r="B198" s="152"/>
      <c r="C198" s="152"/>
      <c r="D198" s="110"/>
      <c r="E198" s="104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05"/>
      <c r="AC198" s="110"/>
      <c r="AD198" s="110"/>
      <c r="AE198" s="110"/>
      <c r="AF198" s="110"/>
      <c r="AG198" s="110"/>
      <c r="AH198" s="110"/>
      <c r="AI198" s="110"/>
      <c r="AJ198" s="110"/>
      <c r="AK198" s="110"/>
      <c r="AL198" s="110"/>
      <c r="AM198" s="110"/>
      <c r="AN198" s="110"/>
      <c r="AO198" s="110"/>
      <c r="AP198" s="111"/>
      <c r="AQ198" s="111"/>
      <c r="AR198" s="110"/>
      <c r="AS198" s="105"/>
      <c r="AT198" s="110"/>
      <c r="AU198" s="110"/>
      <c r="AV198" s="110"/>
      <c r="AW198" s="110"/>
      <c r="AX198" s="110"/>
      <c r="AY198" s="108"/>
      <c r="AZ198" s="109"/>
      <c r="BA198" s="9"/>
      <c r="BB198" s="9"/>
      <c r="BC198" s="9"/>
      <c r="BD198" s="9"/>
      <c r="BE198" s="9"/>
      <c r="BF198" s="9"/>
    </row>
    <row r="199" spans="1:93" s="4" customFormat="1" ht="274.5" outlineLevel="1" x14ac:dyDescent="0.25">
      <c r="A199" s="100">
        <f>A197+1</f>
        <v>161</v>
      </c>
      <c r="B199" s="101" t="s">
        <v>252</v>
      </c>
      <c r="C199" s="102" t="s">
        <v>203</v>
      </c>
      <c r="D199" s="103" t="s">
        <v>19</v>
      </c>
      <c r="E199" s="104">
        <f t="shared" si="168"/>
        <v>626.59999999999991</v>
      </c>
      <c r="F199" s="105">
        <v>0</v>
      </c>
      <c r="G199" s="105">
        <f t="shared" si="222"/>
        <v>16.949152542372882</v>
      </c>
      <c r="H199" s="105">
        <v>20</v>
      </c>
      <c r="I199" s="105">
        <f>H199*F199</f>
        <v>0</v>
      </c>
      <c r="J199" s="104">
        <v>223.7</v>
      </c>
      <c r="K199" s="105">
        <f t="shared" si="223"/>
        <v>12.711864406779661</v>
      </c>
      <c r="L199" s="105">
        <v>15</v>
      </c>
      <c r="M199" s="105">
        <f>L199*J199</f>
        <v>3355.5</v>
      </c>
      <c r="N199" s="106">
        <f>232.7-29.3</f>
        <v>203.39999999999998</v>
      </c>
      <c r="O199" s="105">
        <f>P199/1.18</f>
        <v>6.6101694915254239</v>
      </c>
      <c r="P199" s="105">
        <v>7.8</v>
      </c>
      <c r="Q199" s="105">
        <f>P199*N199</f>
        <v>1586.5199999999998</v>
      </c>
      <c r="R199" s="104">
        <v>0</v>
      </c>
      <c r="S199" s="105">
        <f>T199/1.18</f>
        <v>13.220338983050848</v>
      </c>
      <c r="T199" s="105">
        <v>15.6</v>
      </c>
      <c r="U199" s="105">
        <f>T199*R199</f>
        <v>0</v>
      </c>
      <c r="V199" s="105">
        <v>0</v>
      </c>
      <c r="W199" s="105">
        <f t="shared" ref="W199" si="243">X199/1.18</f>
        <v>5.9322033898305087</v>
      </c>
      <c r="X199" s="105">
        <v>7</v>
      </c>
      <c r="Y199" s="105">
        <f>X199*V199</f>
        <v>0</v>
      </c>
      <c r="Z199" s="104">
        <f>167.7+29.3</f>
        <v>197</v>
      </c>
      <c r="AA199" s="105">
        <f t="shared" si="224"/>
        <v>5.5084745762711869</v>
      </c>
      <c r="AB199" s="105">
        <v>6.5</v>
      </c>
      <c r="AC199" s="105">
        <f>AB199*Z199</f>
        <v>1280.5</v>
      </c>
      <c r="AD199" s="105">
        <v>0</v>
      </c>
      <c r="AE199" s="105">
        <f t="shared" si="225"/>
        <v>4.2372881355932206</v>
      </c>
      <c r="AF199" s="105">
        <v>5</v>
      </c>
      <c r="AG199" s="105">
        <f>AF199*AD199</f>
        <v>0</v>
      </c>
      <c r="AH199" s="106">
        <v>0</v>
      </c>
      <c r="AI199" s="105">
        <f t="shared" si="226"/>
        <v>9.3220338983050848</v>
      </c>
      <c r="AJ199" s="116">
        <v>11</v>
      </c>
      <c r="AK199" s="105">
        <f>AJ199*AH199</f>
        <v>0</v>
      </c>
      <c r="AL199" s="106">
        <v>2.5</v>
      </c>
      <c r="AM199" s="105">
        <f>AN199/1.18</f>
        <v>12.711864406779661</v>
      </c>
      <c r="AN199" s="105">
        <v>15</v>
      </c>
      <c r="AO199" s="105">
        <f>AN199*AL199</f>
        <v>37.5</v>
      </c>
      <c r="AP199" s="105">
        <f t="shared" si="166"/>
        <v>5305.1016949152545</v>
      </c>
      <c r="AQ199" s="105">
        <f t="shared" si="167"/>
        <v>6260.0199999999995</v>
      </c>
      <c r="AR199" s="106">
        <v>100</v>
      </c>
      <c r="AS199" s="105" t="s">
        <v>312</v>
      </c>
      <c r="AT199" s="107">
        <v>0</v>
      </c>
      <c r="AU199" s="107">
        <f t="shared" si="227"/>
        <v>5.0847457627118651</v>
      </c>
      <c r="AV199" s="107">
        <v>6</v>
      </c>
      <c r="AW199" s="107">
        <f>AU199*AR199</f>
        <v>508.47457627118649</v>
      </c>
      <c r="AX199" s="107">
        <f>AV199*AR199</f>
        <v>600</v>
      </c>
      <c r="AY199" s="108">
        <f t="shared" si="164"/>
        <v>5813.5762711864409</v>
      </c>
      <c r="AZ199" s="109">
        <f t="shared" si="164"/>
        <v>6860.0199999999995</v>
      </c>
      <c r="BA199" s="9"/>
      <c r="BB199" s="9"/>
      <c r="BC199" s="9"/>
      <c r="BD199" s="9"/>
      <c r="BE199" s="45"/>
      <c r="BF199" s="45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</row>
    <row r="200" spans="1:93" s="4" customFormat="1" ht="320.25" outlineLevel="1" x14ac:dyDescent="0.25">
      <c r="A200" s="100">
        <f>A199+1</f>
        <v>162</v>
      </c>
      <c r="B200" s="101" t="s">
        <v>252</v>
      </c>
      <c r="C200" s="102" t="s">
        <v>204</v>
      </c>
      <c r="D200" s="103" t="s">
        <v>19</v>
      </c>
      <c r="E200" s="104">
        <f t="shared" si="168"/>
        <v>855.19999999999993</v>
      </c>
      <c r="F200" s="105">
        <v>0</v>
      </c>
      <c r="G200" s="105">
        <f t="shared" si="222"/>
        <v>16.949152542372882</v>
      </c>
      <c r="H200" s="105">
        <v>20</v>
      </c>
      <c r="I200" s="105">
        <f>H200*F200</f>
        <v>0</v>
      </c>
      <c r="J200" s="104">
        <f>58.8+150.7</f>
        <v>209.5</v>
      </c>
      <c r="K200" s="105">
        <f t="shared" si="223"/>
        <v>12.711864406779661</v>
      </c>
      <c r="L200" s="105">
        <v>15</v>
      </c>
      <c r="M200" s="105">
        <f>L200*J200</f>
        <v>3142.5</v>
      </c>
      <c r="N200" s="106">
        <f>61.6+381.9+30.3+62.6</f>
        <v>536.4</v>
      </c>
      <c r="O200" s="105">
        <f>P200/1.18</f>
        <v>6.6101694915254239</v>
      </c>
      <c r="P200" s="105">
        <v>7.8</v>
      </c>
      <c r="Q200" s="105">
        <f>P200*N200</f>
        <v>4183.92</v>
      </c>
      <c r="R200" s="104">
        <v>0</v>
      </c>
      <c r="S200" s="105">
        <f>T200/1.18</f>
        <v>13.220338983050848</v>
      </c>
      <c r="T200" s="105">
        <v>15.6</v>
      </c>
      <c r="U200" s="105">
        <f>T200*R200</f>
        <v>0</v>
      </c>
      <c r="V200" s="105">
        <v>0</v>
      </c>
      <c r="W200" s="105">
        <f>X200/1.18</f>
        <v>5.9322033898305087</v>
      </c>
      <c r="X200" s="105">
        <v>7</v>
      </c>
      <c r="Y200" s="105">
        <f>X200*V200</f>
        <v>0</v>
      </c>
      <c r="Z200" s="104">
        <f>3.8+15.9+34.3+15.9+24</f>
        <v>93.9</v>
      </c>
      <c r="AA200" s="105">
        <f t="shared" si="224"/>
        <v>5.5084745762711869</v>
      </c>
      <c r="AB200" s="105">
        <v>6.5</v>
      </c>
      <c r="AC200" s="105">
        <f>AB200*Z200</f>
        <v>610.35</v>
      </c>
      <c r="AD200" s="105">
        <v>0</v>
      </c>
      <c r="AE200" s="105">
        <f t="shared" si="225"/>
        <v>4.2372881355932206</v>
      </c>
      <c r="AF200" s="105">
        <v>5</v>
      </c>
      <c r="AG200" s="105">
        <f>AF200*AD200</f>
        <v>0</v>
      </c>
      <c r="AH200" s="106">
        <v>0</v>
      </c>
      <c r="AI200" s="105">
        <f t="shared" si="226"/>
        <v>9.3220338983050848</v>
      </c>
      <c r="AJ200" s="116">
        <v>11</v>
      </c>
      <c r="AK200" s="105">
        <f>AJ200*AH200</f>
        <v>0</v>
      </c>
      <c r="AL200" s="106">
        <v>15.4</v>
      </c>
      <c r="AM200" s="105">
        <f>AN200/1.18</f>
        <v>12.711864406779661</v>
      </c>
      <c r="AN200" s="105">
        <v>15</v>
      </c>
      <c r="AO200" s="105">
        <f>AN200*AL200</f>
        <v>231</v>
      </c>
      <c r="AP200" s="105">
        <f t="shared" si="166"/>
        <v>6921.8389830508486</v>
      </c>
      <c r="AQ200" s="105">
        <f t="shared" si="167"/>
        <v>8167.77</v>
      </c>
      <c r="AR200" s="106">
        <v>450</v>
      </c>
      <c r="AS200" s="105" t="s">
        <v>312</v>
      </c>
      <c r="AT200" s="107">
        <v>0</v>
      </c>
      <c r="AU200" s="107">
        <f t="shared" si="227"/>
        <v>5.0847457627118651</v>
      </c>
      <c r="AV200" s="107">
        <v>6</v>
      </c>
      <c r="AW200" s="107">
        <f>AU200*AR200</f>
        <v>2288.1355932203392</v>
      </c>
      <c r="AX200" s="107">
        <f>AV200*AR200</f>
        <v>2700</v>
      </c>
      <c r="AY200" s="108">
        <f t="shared" si="164"/>
        <v>9209.9745762711882</v>
      </c>
      <c r="AZ200" s="109">
        <f t="shared" si="164"/>
        <v>10867.77</v>
      </c>
      <c r="BA200" s="9"/>
      <c r="BB200" s="9"/>
      <c r="BC200" s="9"/>
      <c r="BD200" s="9"/>
      <c r="BE200" s="45"/>
      <c r="BF200" s="45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</row>
    <row r="201" spans="1:93" s="4" customFormat="1" ht="274.5" outlineLevel="1" x14ac:dyDescent="0.25">
      <c r="A201" s="100">
        <f>A200+1</f>
        <v>163</v>
      </c>
      <c r="B201" s="101" t="s">
        <v>252</v>
      </c>
      <c r="C201" s="102" t="s">
        <v>205</v>
      </c>
      <c r="D201" s="103" t="s">
        <v>19</v>
      </c>
      <c r="E201" s="104">
        <f t="shared" si="168"/>
        <v>853.90000000000009</v>
      </c>
      <c r="F201" s="105">
        <v>0</v>
      </c>
      <c r="G201" s="105">
        <f t="shared" si="222"/>
        <v>16.949152542372882</v>
      </c>
      <c r="H201" s="105">
        <v>20</v>
      </c>
      <c r="I201" s="105">
        <f>H201*F201</f>
        <v>0</v>
      </c>
      <c r="J201" s="104">
        <f>33.3+82.2</f>
        <v>115.5</v>
      </c>
      <c r="K201" s="105">
        <f t="shared" si="223"/>
        <v>12.711864406779661</v>
      </c>
      <c r="L201" s="105">
        <v>15</v>
      </c>
      <c r="M201" s="105">
        <f>L201*J201</f>
        <v>1732.5</v>
      </c>
      <c r="N201" s="106">
        <v>262.8</v>
      </c>
      <c r="O201" s="105">
        <f>P201/1.18</f>
        <v>6.6101694915254239</v>
      </c>
      <c r="P201" s="105">
        <v>7.8</v>
      </c>
      <c r="Q201" s="105">
        <f>P201*N201</f>
        <v>2049.84</v>
      </c>
      <c r="R201" s="104">
        <v>0</v>
      </c>
      <c r="S201" s="105">
        <f>T201/1.18</f>
        <v>13.220338983050848</v>
      </c>
      <c r="T201" s="105">
        <v>15.6</v>
      </c>
      <c r="U201" s="105">
        <f>T201*R201</f>
        <v>0</v>
      </c>
      <c r="V201" s="105">
        <v>90</v>
      </c>
      <c r="W201" s="105">
        <f>X201/1.18</f>
        <v>5.9322033898305087</v>
      </c>
      <c r="X201" s="105">
        <v>7</v>
      </c>
      <c r="Y201" s="105">
        <f>X201*V201</f>
        <v>630</v>
      </c>
      <c r="Z201" s="104">
        <v>351.6</v>
      </c>
      <c r="AA201" s="105">
        <f t="shared" si="224"/>
        <v>5.5084745762711869</v>
      </c>
      <c r="AB201" s="105">
        <v>6.5</v>
      </c>
      <c r="AC201" s="105">
        <f>AB201*Z201</f>
        <v>2285.4</v>
      </c>
      <c r="AD201" s="105">
        <v>0</v>
      </c>
      <c r="AE201" s="105">
        <f t="shared" si="225"/>
        <v>4.2372881355932206</v>
      </c>
      <c r="AF201" s="105">
        <v>5</v>
      </c>
      <c r="AG201" s="105">
        <f>AF201*AD201</f>
        <v>0</v>
      </c>
      <c r="AH201" s="106">
        <v>14.9</v>
      </c>
      <c r="AI201" s="105">
        <f t="shared" si="226"/>
        <v>9.3220338983050848</v>
      </c>
      <c r="AJ201" s="116">
        <v>11</v>
      </c>
      <c r="AK201" s="105">
        <f>AJ201*AH201</f>
        <v>163.9</v>
      </c>
      <c r="AL201" s="106">
        <v>19.100000000000001</v>
      </c>
      <c r="AM201" s="105">
        <f>AN201/1.18</f>
        <v>12.711864406779661</v>
      </c>
      <c r="AN201" s="105">
        <v>15</v>
      </c>
      <c r="AO201" s="105">
        <f>AN201*AL201</f>
        <v>286.5</v>
      </c>
      <c r="AP201" s="105">
        <f t="shared" si="166"/>
        <v>6057.7457627118638</v>
      </c>
      <c r="AQ201" s="105">
        <f t="shared" si="167"/>
        <v>7148.1399999999994</v>
      </c>
      <c r="AR201" s="106">
        <v>200</v>
      </c>
      <c r="AS201" s="105" t="s">
        <v>312</v>
      </c>
      <c r="AT201" s="107">
        <v>0</v>
      </c>
      <c r="AU201" s="107">
        <f t="shared" si="227"/>
        <v>5.0847457627118651</v>
      </c>
      <c r="AV201" s="107">
        <v>6</v>
      </c>
      <c r="AW201" s="107">
        <f>AU201*AR201</f>
        <v>1016.949152542373</v>
      </c>
      <c r="AX201" s="107">
        <f>AV201*AR201</f>
        <v>1200</v>
      </c>
      <c r="AY201" s="108">
        <f t="shared" si="164"/>
        <v>7074.6949152542365</v>
      </c>
      <c r="AZ201" s="109">
        <f t="shared" si="164"/>
        <v>8348.14</v>
      </c>
      <c r="BA201" s="9"/>
      <c r="BB201" s="9"/>
      <c r="BC201" s="9"/>
      <c r="BD201" s="9"/>
      <c r="BE201" s="45"/>
      <c r="BF201" s="45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</row>
    <row r="202" spans="1:93" s="4" customFormat="1" ht="45.75" outlineLevel="1" x14ac:dyDescent="0.25">
      <c r="A202" s="151" t="s">
        <v>237</v>
      </c>
      <c r="B202" s="152"/>
      <c r="C202" s="152"/>
      <c r="D202" s="110"/>
      <c r="E202" s="104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  <c r="AH202" s="110"/>
      <c r="AI202" s="110"/>
      <c r="AJ202" s="110"/>
      <c r="AK202" s="110"/>
      <c r="AL202" s="110"/>
      <c r="AM202" s="110"/>
      <c r="AN202" s="110"/>
      <c r="AO202" s="110"/>
      <c r="AP202" s="111"/>
      <c r="AQ202" s="128"/>
      <c r="AR202" s="110"/>
      <c r="AS202" s="105"/>
      <c r="AT202" s="110"/>
      <c r="AU202" s="110"/>
      <c r="AV202" s="110"/>
      <c r="AW202" s="110"/>
      <c r="AX202" s="110"/>
      <c r="AY202" s="128"/>
      <c r="AZ202" s="112"/>
      <c r="BA202" s="9"/>
      <c r="BB202" s="9"/>
      <c r="BC202" s="9"/>
      <c r="BD202" s="9"/>
      <c r="BE202" s="45"/>
      <c r="BF202" s="45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</row>
    <row r="203" spans="1:93" s="42" customFormat="1" ht="183" outlineLevel="1" x14ac:dyDescent="0.25">
      <c r="A203" s="100">
        <f>A201+1</f>
        <v>164</v>
      </c>
      <c r="B203" s="101" t="s">
        <v>253</v>
      </c>
      <c r="C203" s="102" t="s">
        <v>186</v>
      </c>
      <c r="D203" s="103" t="s">
        <v>19</v>
      </c>
      <c r="E203" s="104">
        <f t="shared" si="168"/>
        <v>3747.9</v>
      </c>
      <c r="F203" s="105">
        <v>0</v>
      </c>
      <c r="G203" s="105">
        <f t="shared" si="159"/>
        <v>16.949152542372882</v>
      </c>
      <c r="H203" s="105">
        <v>20</v>
      </c>
      <c r="I203" s="105">
        <f t="shared" si="169"/>
        <v>0</v>
      </c>
      <c r="J203" s="104">
        <v>690.5</v>
      </c>
      <c r="K203" s="105">
        <f t="shared" si="156"/>
        <v>12.711864406779661</v>
      </c>
      <c r="L203" s="105">
        <v>15</v>
      </c>
      <c r="M203" s="105">
        <f t="shared" si="170"/>
        <v>10357.5</v>
      </c>
      <c r="N203" s="106">
        <v>974.1</v>
      </c>
      <c r="O203" s="105">
        <f t="shared" si="171"/>
        <v>6.6101694915254239</v>
      </c>
      <c r="P203" s="105">
        <v>7.8</v>
      </c>
      <c r="Q203" s="105">
        <f t="shared" si="172"/>
        <v>7597.98</v>
      </c>
      <c r="R203" s="104">
        <v>0</v>
      </c>
      <c r="S203" s="105">
        <f t="shared" si="173"/>
        <v>13.220338983050848</v>
      </c>
      <c r="T203" s="105">
        <v>15.6</v>
      </c>
      <c r="U203" s="105">
        <f t="shared" si="174"/>
        <v>0</v>
      </c>
      <c r="V203" s="105">
        <v>469.1</v>
      </c>
      <c r="W203" s="105">
        <f t="shared" si="221"/>
        <v>5.9322033898305087</v>
      </c>
      <c r="X203" s="105">
        <v>7</v>
      </c>
      <c r="Y203" s="105">
        <f t="shared" si="175"/>
        <v>3283.7000000000003</v>
      </c>
      <c r="Z203" s="104">
        <v>1400.6</v>
      </c>
      <c r="AA203" s="105">
        <f t="shared" si="160"/>
        <v>5.5084745762711869</v>
      </c>
      <c r="AB203" s="105">
        <v>6.5</v>
      </c>
      <c r="AC203" s="105">
        <f t="shared" si="176"/>
        <v>9103.9</v>
      </c>
      <c r="AD203" s="105">
        <v>0</v>
      </c>
      <c r="AE203" s="105">
        <f t="shared" si="161"/>
        <v>4.2372881355932206</v>
      </c>
      <c r="AF203" s="105">
        <v>5</v>
      </c>
      <c r="AG203" s="105">
        <f t="shared" si="177"/>
        <v>0</v>
      </c>
      <c r="AH203" s="106">
        <v>163.30000000000001</v>
      </c>
      <c r="AI203" s="105">
        <f t="shared" si="162"/>
        <v>9.3220338983050848</v>
      </c>
      <c r="AJ203" s="116">
        <v>11</v>
      </c>
      <c r="AK203" s="105">
        <f t="shared" si="178"/>
        <v>1796.3000000000002</v>
      </c>
      <c r="AL203" s="106">
        <v>50.3</v>
      </c>
      <c r="AM203" s="105">
        <f t="shared" si="179"/>
        <v>12.711864406779661</v>
      </c>
      <c r="AN203" s="105">
        <v>15</v>
      </c>
      <c r="AO203" s="105">
        <f t="shared" si="180"/>
        <v>754.5</v>
      </c>
      <c r="AP203" s="105">
        <f t="shared" si="166"/>
        <v>27876.16949152543</v>
      </c>
      <c r="AQ203" s="105">
        <f t="shared" si="167"/>
        <v>32893.880000000005</v>
      </c>
      <c r="AR203" s="106">
        <v>40</v>
      </c>
      <c r="AS203" s="105" t="s">
        <v>312</v>
      </c>
      <c r="AT203" s="107">
        <v>0</v>
      </c>
      <c r="AU203" s="107">
        <f t="shared" si="189"/>
        <v>5.0847457627118651</v>
      </c>
      <c r="AV203" s="107">
        <v>6</v>
      </c>
      <c r="AW203" s="107">
        <f t="shared" si="182"/>
        <v>203.3898305084746</v>
      </c>
      <c r="AX203" s="107">
        <f t="shared" si="181"/>
        <v>240</v>
      </c>
      <c r="AY203" s="108">
        <f t="shared" si="164"/>
        <v>28079.559322033903</v>
      </c>
      <c r="AZ203" s="109">
        <f t="shared" si="164"/>
        <v>33133.880000000005</v>
      </c>
      <c r="BA203" s="45"/>
      <c r="BB203" s="45"/>
      <c r="BC203" s="45"/>
      <c r="BD203" s="45"/>
      <c r="BE203" s="45"/>
      <c r="BF203" s="45"/>
    </row>
    <row r="204" spans="1:93" s="4" customFormat="1" ht="274.5" outlineLevel="1" x14ac:dyDescent="0.25">
      <c r="A204" s="100">
        <f>A203+1</f>
        <v>165</v>
      </c>
      <c r="B204" s="101" t="s">
        <v>253</v>
      </c>
      <c r="C204" s="102" t="s">
        <v>187</v>
      </c>
      <c r="D204" s="103" t="s">
        <v>19</v>
      </c>
      <c r="E204" s="104">
        <f t="shared" si="168"/>
        <v>752.90000000000009</v>
      </c>
      <c r="F204" s="105">
        <v>0</v>
      </c>
      <c r="G204" s="105">
        <f t="shared" si="159"/>
        <v>16.949152542372882</v>
      </c>
      <c r="H204" s="105">
        <v>20</v>
      </c>
      <c r="I204" s="105">
        <f t="shared" si="169"/>
        <v>0</v>
      </c>
      <c r="J204" s="104">
        <f>101.1+243.1</f>
        <v>344.2</v>
      </c>
      <c r="K204" s="105">
        <f t="shared" si="156"/>
        <v>12.711864406779661</v>
      </c>
      <c r="L204" s="105">
        <v>15</v>
      </c>
      <c r="M204" s="105">
        <f t="shared" si="170"/>
        <v>5163</v>
      </c>
      <c r="N204" s="106">
        <f>75.9+98.1</f>
        <v>174</v>
      </c>
      <c r="O204" s="105">
        <f t="shared" si="171"/>
        <v>6.6101694915254239</v>
      </c>
      <c r="P204" s="105">
        <v>7.8</v>
      </c>
      <c r="Q204" s="105">
        <f t="shared" si="172"/>
        <v>1357.2</v>
      </c>
      <c r="R204" s="104">
        <v>0</v>
      </c>
      <c r="S204" s="105">
        <f t="shared" si="173"/>
        <v>13.220338983050848</v>
      </c>
      <c r="T204" s="105">
        <v>15.6</v>
      </c>
      <c r="U204" s="105">
        <f t="shared" si="174"/>
        <v>0</v>
      </c>
      <c r="V204" s="105">
        <f>14.1</f>
        <v>14.1</v>
      </c>
      <c r="W204" s="105">
        <f t="shared" ref="W204:W205" si="244">X204/1.18</f>
        <v>5.9322033898305087</v>
      </c>
      <c r="X204" s="105">
        <v>7</v>
      </c>
      <c r="Y204" s="105">
        <f t="shared" si="175"/>
        <v>98.7</v>
      </c>
      <c r="Z204" s="104">
        <f>29.3+19.4+63.2+15+66.2+21.5+1.7</f>
        <v>216.3</v>
      </c>
      <c r="AA204" s="105">
        <f t="shared" si="160"/>
        <v>5.5084745762711869</v>
      </c>
      <c r="AB204" s="105">
        <v>6.5</v>
      </c>
      <c r="AC204" s="105">
        <f t="shared" si="176"/>
        <v>1405.95</v>
      </c>
      <c r="AD204" s="105">
        <v>0</v>
      </c>
      <c r="AE204" s="105">
        <f t="shared" si="161"/>
        <v>4.2372881355932206</v>
      </c>
      <c r="AF204" s="105">
        <v>5</v>
      </c>
      <c r="AG204" s="105">
        <f t="shared" si="177"/>
        <v>0</v>
      </c>
      <c r="AH204" s="106">
        <v>0</v>
      </c>
      <c r="AI204" s="105">
        <f t="shared" si="162"/>
        <v>9.3220338983050848</v>
      </c>
      <c r="AJ204" s="116">
        <v>11</v>
      </c>
      <c r="AK204" s="105">
        <f t="shared" si="178"/>
        <v>0</v>
      </c>
      <c r="AL204" s="106">
        <v>4.3</v>
      </c>
      <c r="AM204" s="105">
        <f t="shared" si="179"/>
        <v>12.711864406779661</v>
      </c>
      <c r="AN204" s="105">
        <v>15</v>
      </c>
      <c r="AO204" s="105">
        <f t="shared" si="180"/>
        <v>64.5</v>
      </c>
      <c r="AP204" s="105">
        <f t="shared" si="166"/>
        <v>6855.3813559322034</v>
      </c>
      <c r="AQ204" s="105">
        <f t="shared" si="167"/>
        <v>8089.3499999999995</v>
      </c>
      <c r="AR204" s="106">
        <v>15</v>
      </c>
      <c r="AS204" s="105" t="s">
        <v>312</v>
      </c>
      <c r="AT204" s="107">
        <v>0</v>
      </c>
      <c r="AU204" s="107">
        <f t="shared" si="189"/>
        <v>5.0847457627118651</v>
      </c>
      <c r="AV204" s="107">
        <v>6</v>
      </c>
      <c r="AW204" s="107">
        <f t="shared" si="182"/>
        <v>76.27118644067798</v>
      </c>
      <c r="AX204" s="107">
        <f t="shared" si="181"/>
        <v>90</v>
      </c>
      <c r="AY204" s="108">
        <f t="shared" si="164"/>
        <v>6931.6525423728817</v>
      </c>
      <c r="AZ204" s="109">
        <f t="shared" si="164"/>
        <v>8179.3499999999995</v>
      </c>
      <c r="BA204" s="9"/>
      <c r="BB204" s="9"/>
      <c r="BC204" s="9"/>
      <c r="BD204" s="9"/>
      <c r="BE204" s="45"/>
      <c r="BF204" s="45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</row>
    <row r="205" spans="1:93" s="4" customFormat="1" ht="320.25" outlineLevel="1" x14ac:dyDescent="0.25">
      <c r="A205" s="100">
        <f t="shared" ref="A205:A206" si="245">A204+1</f>
        <v>166</v>
      </c>
      <c r="B205" s="101" t="s">
        <v>252</v>
      </c>
      <c r="C205" s="102" t="s">
        <v>188</v>
      </c>
      <c r="D205" s="103" t="s">
        <v>19</v>
      </c>
      <c r="E205" s="104">
        <f t="shared" si="168"/>
        <v>1298</v>
      </c>
      <c r="F205" s="105">
        <v>0</v>
      </c>
      <c r="G205" s="105">
        <f t="shared" si="159"/>
        <v>16.949152542372882</v>
      </c>
      <c r="H205" s="105">
        <v>20</v>
      </c>
      <c r="I205" s="105">
        <f t="shared" si="169"/>
        <v>0</v>
      </c>
      <c r="J205" s="104">
        <f>199.4+62.6</f>
        <v>262</v>
      </c>
      <c r="K205" s="105">
        <f t="shared" si="156"/>
        <v>12.711864406779661</v>
      </c>
      <c r="L205" s="105">
        <v>15</v>
      </c>
      <c r="M205" s="105">
        <f t="shared" si="170"/>
        <v>3930</v>
      </c>
      <c r="N205" s="106">
        <f>120.2+71.2+67.7+31.6+50.2+93</f>
        <v>433.90000000000003</v>
      </c>
      <c r="O205" s="105">
        <f t="shared" si="171"/>
        <v>6.6101694915254239</v>
      </c>
      <c r="P205" s="105">
        <v>7.8</v>
      </c>
      <c r="Q205" s="105">
        <f t="shared" si="172"/>
        <v>3384.42</v>
      </c>
      <c r="R205" s="104">
        <v>0</v>
      </c>
      <c r="S205" s="105">
        <f t="shared" si="173"/>
        <v>13.220338983050848</v>
      </c>
      <c r="T205" s="105">
        <v>15.6</v>
      </c>
      <c r="U205" s="105">
        <f t="shared" si="174"/>
        <v>0</v>
      </c>
      <c r="V205" s="105">
        <f>30.8+115.9</f>
        <v>146.70000000000002</v>
      </c>
      <c r="W205" s="105">
        <f t="shared" si="244"/>
        <v>5.9322033898305087</v>
      </c>
      <c r="X205" s="105">
        <v>7</v>
      </c>
      <c r="Y205" s="105">
        <f t="shared" si="175"/>
        <v>1026.9000000000001</v>
      </c>
      <c r="Z205" s="104">
        <v>403.4</v>
      </c>
      <c r="AA205" s="105">
        <f t="shared" si="160"/>
        <v>5.5084745762711869</v>
      </c>
      <c r="AB205" s="105">
        <v>6.5</v>
      </c>
      <c r="AC205" s="105">
        <f t="shared" si="176"/>
        <v>2622.1</v>
      </c>
      <c r="AD205" s="105">
        <v>0</v>
      </c>
      <c r="AE205" s="105">
        <f t="shared" si="161"/>
        <v>4.2372881355932206</v>
      </c>
      <c r="AF205" s="105">
        <v>5</v>
      </c>
      <c r="AG205" s="105">
        <f t="shared" si="177"/>
        <v>0</v>
      </c>
      <c r="AH205" s="106">
        <v>43.2</v>
      </c>
      <c r="AI205" s="105">
        <f t="shared" si="162"/>
        <v>9.3220338983050848</v>
      </c>
      <c r="AJ205" s="116">
        <v>11</v>
      </c>
      <c r="AK205" s="105">
        <f t="shared" si="178"/>
        <v>475.20000000000005</v>
      </c>
      <c r="AL205" s="106">
        <v>8.8000000000000007</v>
      </c>
      <c r="AM205" s="105">
        <f t="shared" si="179"/>
        <v>12.711864406779661</v>
      </c>
      <c r="AN205" s="105">
        <v>15</v>
      </c>
      <c r="AO205" s="105">
        <f t="shared" si="180"/>
        <v>132</v>
      </c>
      <c r="AP205" s="105">
        <f t="shared" si="166"/>
        <v>9805.6101694915269</v>
      </c>
      <c r="AQ205" s="105">
        <f t="shared" si="167"/>
        <v>11570.62</v>
      </c>
      <c r="AR205" s="106">
        <v>100</v>
      </c>
      <c r="AS205" s="105" t="s">
        <v>312</v>
      </c>
      <c r="AT205" s="107">
        <v>0</v>
      </c>
      <c r="AU205" s="107">
        <f t="shared" si="189"/>
        <v>5.0847457627118651</v>
      </c>
      <c r="AV205" s="107">
        <v>6</v>
      </c>
      <c r="AW205" s="107">
        <f t="shared" si="182"/>
        <v>508.47457627118649</v>
      </c>
      <c r="AX205" s="107">
        <f t="shared" si="181"/>
        <v>600</v>
      </c>
      <c r="AY205" s="108">
        <f t="shared" ref="AY205:AZ255" si="246">AP205+AW205</f>
        <v>10314.084745762713</v>
      </c>
      <c r="AZ205" s="109">
        <f t="shared" si="246"/>
        <v>12170.62</v>
      </c>
      <c r="BA205" s="9"/>
      <c r="BB205" s="9"/>
      <c r="BC205" s="9"/>
      <c r="BD205" s="9"/>
      <c r="BE205" s="45"/>
      <c r="BF205" s="45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</row>
    <row r="206" spans="1:93" s="4" customFormat="1" ht="274.5" outlineLevel="1" x14ac:dyDescent="0.25">
      <c r="A206" s="100">
        <f t="shared" si="245"/>
        <v>167</v>
      </c>
      <c r="B206" s="101" t="s">
        <v>252</v>
      </c>
      <c r="C206" s="102" t="s">
        <v>192</v>
      </c>
      <c r="D206" s="103" t="s">
        <v>19</v>
      </c>
      <c r="E206" s="104">
        <f t="shared" si="168"/>
        <v>684.19999999999993</v>
      </c>
      <c r="F206" s="105">
        <v>0</v>
      </c>
      <c r="G206" s="105">
        <f>H206/1.18</f>
        <v>16.949152542372882</v>
      </c>
      <c r="H206" s="105">
        <v>20</v>
      </c>
      <c r="I206" s="105">
        <f>H206*F206</f>
        <v>0</v>
      </c>
      <c r="J206" s="104">
        <f>165.9</f>
        <v>165.9</v>
      </c>
      <c r="K206" s="105">
        <f>L206/1.18</f>
        <v>12.711864406779661</v>
      </c>
      <c r="L206" s="105">
        <v>15</v>
      </c>
      <c r="M206" s="105">
        <f>L206*J206</f>
        <v>2488.5</v>
      </c>
      <c r="N206" s="106">
        <f>72.8+27.3+115.8+44.4+81.6</f>
        <v>341.9</v>
      </c>
      <c r="O206" s="105">
        <f>P206/1.18</f>
        <v>6.6101694915254239</v>
      </c>
      <c r="P206" s="105">
        <v>7.8</v>
      </c>
      <c r="Q206" s="105">
        <f>P206*N206</f>
        <v>2666.8199999999997</v>
      </c>
      <c r="R206" s="104">
        <v>0</v>
      </c>
      <c r="S206" s="105">
        <f>T206/1.18</f>
        <v>13.220338983050848</v>
      </c>
      <c r="T206" s="105">
        <v>15.6</v>
      </c>
      <c r="U206" s="105">
        <f>T206*R206</f>
        <v>0</v>
      </c>
      <c r="V206" s="105">
        <v>0</v>
      </c>
      <c r="W206" s="105">
        <v>4.2</v>
      </c>
      <c r="X206" s="105">
        <v>7</v>
      </c>
      <c r="Y206" s="105">
        <f>X206*V206</f>
        <v>0</v>
      </c>
      <c r="Z206" s="104">
        <f>31+12.8+41+8.3+55.9+22.3-14.7</f>
        <v>156.60000000000002</v>
      </c>
      <c r="AA206" s="105">
        <f>AB206/1.18</f>
        <v>5.5084745762711869</v>
      </c>
      <c r="AB206" s="105">
        <v>6.5</v>
      </c>
      <c r="AC206" s="105">
        <f>AB206*Z206</f>
        <v>1017.9000000000001</v>
      </c>
      <c r="AD206" s="105">
        <v>0</v>
      </c>
      <c r="AE206" s="105">
        <f>AF206/1.18</f>
        <v>4.2372881355932206</v>
      </c>
      <c r="AF206" s="105">
        <v>5</v>
      </c>
      <c r="AG206" s="105">
        <f>AF206*AD206</f>
        <v>0</v>
      </c>
      <c r="AH206" s="106">
        <v>0</v>
      </c>
      <c r="AI206" s="105">
        <f>AJ206/1.18</f>
        <v>9.3220338983050848</v>
      </c>
      <c r="AJ206" s="116">
        <v>11</v>
      </c>
      <c r="AK206" s="105">
        <f>AJ206*AH206</f>
        <v>0</v>
      </c>
      <c r="AL206" s="106">
        <f>8.9+3.1+7.8</f>
        <v>19.8</v>
      </c>
      <c r="AM206" s="105">
        <f>AN206/1.18</f>
        <v>12.711864406779661</v>
      </c>
      <c r="AN206" s="105">
        <v>15</v>
      </c>
      <c r="AO206" s="105">
        <f>AN206*AL206</f>
        <v>297</v>
      </c>
      <c r="AP206" s="105">
        <f t="shared" ref="AP206:AP258" si="247">AQ206/1.18</f>
        <v>5483.2372881355932</v>
      </c>
      <c r="AQ206" s="105">
        <f t="shared" ref="AQ206:AQ258" si="248">I206+M206+Q206+U206+Y206+AC206+AG206+AK206+AO206</f>
        <v>6470.2199999999993</v>
      </c>
      <c r="AR206" s="106">
        <v>15</v>
      </c>
      <c r="AS206" s="105" t="s">
        <v>312</v>
      </c>
      <c r="AT206" s="107">
        <v>0</v>
      </c>
      <c r="AU206" s="107">
        <f t="shared" si="189"/>
        <v>5.0847457627118651</v>
      </c>
      <c r="AV206" s="107">
        <v>6</v>
      </c>
      <c r="AW206" s="107">
        <f>AU206*AR206</f>
        <v>76.27118644067798</v>
      </c>
      <c r="AX206" s="107">
        <f>AV206*AR206</f>
        <v>90</v>
      </c>
      <c r="AY206" s="108">
        <f t="shared" si="246"/>
        <v>5559.5084745762715</v>
      </c>
      <c r="AZ206" s="109">
        <f t="shared" si="246"/>
        <v>6560.2199999999993</v>
      </c>
      <c r="BA206" s="9"/>
      <c r="BB206" s="9"/>
      <c r="BC206" s="9"/>
      <c r="BD206" s="9"/>
      <c r="BE206" s="45"/>
      <c r="BF206" s="45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</row>
    <row r="207" spans="1:93" s="4" customFormat="1" ht="45.75" outlineLevel="1" x14ac:dyDescent="0.25">
      <c r="A207" s="151" t="s">
        <v>238</v>
      </c>
      <c r="B207" s="152"/>
      <c r="C207" s="152"/>
      <c r="D207" s="110"/>
      <c r="E207" s="104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0"/>
      <c r="AD207" s="110"/>
      <c r="AE207" s="110"/>
      <c r="AF207" s="110"/>
      <c r="AG207" s="110"/>
      <c r="AH207" s="110"/>
      <c r="AI207" s="110"/>
      <c r="AJ207" s="110"/>
      <c r="AK207" s="110"/>
      <c r="AL207" s="110"/>
      <c r="AM207" s="110"/>
      <c r="AN207" s="110"/>
      <c r="AO207" s="110"/>
      <c r="AP207" s="111"/>
      <c r="AQ207" s="111"/>
      <c r="AR207" s="110"/>
      <c r="AS207" s="105"/>
      <c r="AT207" s="110"/>
      <c r="AU207" s="110"/>
      <c r="AV207" s="110"/>
      <c r="AW207" s="110"/>
      <c r="AX207" s="110"/>
      <c r="AY207" s="111"/>
      <c r="AZ207" s="112"/>
      <c r="BA207" s="9"/>
      <c r="BB207" s="9"/>
      <c r="BC207" s="9"/>
      <c r="BD207" s="9"/>
      <c r="BE207" s="45"/>
      <c r="BF207" s="45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</row>
    <row r="208" spans="1:93" s="4" customFormat="1" ht="183" outlineLevel="1" x14ac:dyDescent="0.25">
      <c r="A208" s="100">
        <f>A206+1</f>
        <v>168</v>
      </c>
      <c r="B208" s="101" t="s">
        <v>252</v>
      </c>
      <c r="C208" s="102" t="s">
        <v>190</v>
      </c>
      <c r="D208" s="103" t="s">
        <v>19</v>
      </c>
      <c r="E208" s="104">
        <f t="shared" ref="E208:E258" si="249">F208+J208+N208+R208+V208+Z208+AD208+AH208+AL208</f>
        <v>747.95</v>
      </c>
      <c r="F208" s="105">
        <v>0</v>
      </c>
      <c r="G208" s="105">
        <f t="shared" si="159"/>
        <v>16.949152542372882</v>
      </c>
      <c r="H208" s="105">
        <v>20</v>
      </c>
      <c r="I208" s="105">
        <f t="shared" si="169"/>
        <v>0</v>
      </c>
      <c r="J208" s="104">
        <v>0</v>
      </c>
      <c r="K208" s="105">
        <f t="shared" si="156"/>
        <v>12.711864406779661</v>
      </c>
      <c r="L208" s="105">
        <v>15</v>
      </c>
      <c r="M208" s="105">
        <f t="shared" si="170"/>
        <v>0</v>
      </c>
      <c r="N208" s="106">
        <f>188.6+252.2+201.95</f>
        <v>642.75</v>
      </c>
      <c r="O208" s="105">
        <f>P208/1.18</f>
        <v>6.6101694915254239</v>
      </c>
      <c r="P208" s="105">
        <v>7.8</v>
      </c>
      <c r="Q208" s="105">
        <f>P208*N208</f>
        <v>5013.45</v>
      </c>
      <c r="R208" s="104">
        <v>0</v>
      </c>
      <c r="S208" s="105">
        <f t="shared" si="173"/>
        <v>13.220338983050848</v>
      </c>
      <c r="T208" s="105">
        <v>15.6</v>
      </c>
      <c r="U208" s="105">
        <f t="shared" si="174"/>
        <v>0</v>
      </c>
      <c r="V208" s="105">
        <v>0</v>
      </c>
      <c r="W208" s="105">
        <f t="shared" ref="W208:W210" si="250">X208/1.18</f>
        <v>5.9322033898305087</v>
      </c>
      <c r="X208" s="105">
        <v>7</v>
      </c>
      <c r="Y208" s="105">
        <f t="shared" si="175"/>
        <v>0</v>
      </c>
      <c r="Z208" s="104">
        <f>71.3+13.4+13.4</f>
        <v>98.100000000000009</v>
      </c>
      <c r="AA208" s="105">
        <f t="shared" si="160"/>
        <v>5.5084745762711869</v>
      </c>
      <c r="AB208" s="105">
        <v>6.5</v>
      </c>
      <c r="AC208" s="105">
        <f t="shared" si="176"/>
        <v>637.65000000000009</v>
      </c>
      <c r="AD208" s="105">
        <v>0</v>
      </c>
      <c r="AE208" s="105">
        <f t="shared" si="161"/>
        <v>4.2372881355932206</v>
      </c>
      <c r="AF208" s="105">
        <v>5</v>
      </c>
      <c r="AG208" s="105">
        <f t="shared" si="177"/>
        <v>0</v>
      </c>
      <c r="AH208" s="106">
        <v>0</v>
      </c>
      <c r="AI208" s="105">
        <f t="shared" si="162"/>
        <v>9.3220338983050848</v>
      </c>
      <c r="AJ208" s="116">
        <v>11</v>
      </c>
      <c r="AK208" s="105">
        <f t="shared" si="178"/>
        <v>0</v>
      </c>
      <c r="AL208" s="106">
        <v>7.1</v>
      </c>
      <c r="AM208" s="105">
        <f t="shared" si="179"/>
        <v>12.711864406779661</v>
      </c>
      <c r="AN208" s="105">
        <v>15</v>
      </c>
      <c r="AO208" s="105">
        <f t="shared" si="180"/>
        <v>106.5</v>
      </c>
      <c r="AP208" s="105">
        <f t="shared" si="247"/>
        <v>4879.3220338983056</v>
      </c>
      <c r="AQ208" s="105">
        <f t="shared" si="248"/>
        <v>5757.6</v>
      </c>
      <c r="AR208" s="106">
        <v>20</v>
      </c>
      <c r="AS208" s="105" t="s">
        <v>312</v>
      </c>
      <c r="AT208" s="107">
        <v>0</v>
      </c>
      <c r="AU208" s="107">
        <f t="shared" si="189"/>
        <v>5.0847457627118651</v>
      </c>
      <c r="AV208" s="107">
        <v>6</v>
      </c>
      <c r="AW208" s="107">
        <f t="shared" si="182"/>
        <v>101.6949152542373</v>
      </c>
      <c r="AX208" s="107">
        <f t="shared" si="181"/>
        <v>120</v>
      </c>
      <c r="AY208" s="108">
        <f t="shared" si="246"/>
        <v>4981.016949152543</v>
      </c>
      <c r="AZ208" s="109">
        <f t="shared" si="246"/>
        <v>5877.6</v>
      </c>
      <c r="BA208" s="9"/>
      <c r="BB208" s="9"/>
      <c r="BC208" s="9"/>
      <c r="BD208" s="9"/>
      <c r="BE208" s="45"/>
      <c r="BF208" s="45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</row>
    <row r="209" spans="1:93" s="4" customFormat="1" ht="228.75" outlineLevel="1" x14ac:dyDescent="0.25">
      <c r="A209" s="100">
        <f>A208+1</f>
        <v>169</v>
      </c>
      <c r="B209" s="101" t="s">
        <v>252</v>
      </c>
      <c r="C209" s="102" t="s">
        <v>191</v>
      </c>
      <c r="D209" s="103" t="s">
        <v>19</v>
      </c>
      <c r="E209" s="104">
        <f t="shared" si="249"/>
        <v>342.40000000000003</v>
      </c>
      <c r="F209" s="105">
        <v>0</v>
      </c>
      <c r="G209" s="105">
        <f t="shared" si="159"/>
        <v>16.949152542372882</v>
      </c>
      <c r="H209" s="105">
        <v>20</v>
      </c>
      <c r="I209" s="105">
        <f t="shared" si="169"/>
        <v>0</v>
      </c>
      <c r="J209" s="104">
        <v>0</v>
      </c>
      <c r="K209" s="105">
        <f t="shared" si="156"/>
        <v>12.711864406779661</v>
      </c>
      <c r="L209" s="105">
        <v>15</v>
      </c>
      <c r="M209" s="105">
        <f t="shared" si="170"/>
        <v>0</v>
      </c>
      <c r="N209" s="106">
        <v>239.9</v>
      </c>
      <c r="O209" s="105">
        <f>P209/1.18</f>
        <v>6.6101694915254239</v>
      </c>
      <c r="P209" s="105">
        <v>7.8</v>
      </c>
      <c r="Q209" s="105">
        <f>P209*N209</f>
        <v>1871.22</v>
      </c>
      <c r="R209" s="104">
        <v>0</v>
      </c>
      <c r="S209" s="105">
        <f t="shared" si="173"/>
        <v>13.220338983050848</v>
      </c>
      <c r="T209" s="105">
        <v>15.6</v>
      </c>
      <c r="U209" s="105">
        <f t="shared" si="174"/>
        <v>0</v>
      </c>
      <c r="V209" s="105">
        <v>0</v>
      </c>
      <c r="W209" s="105">
        <f t="shared" si="250"/>
        <v>5.9322033898305087</v>
      </c>
      <c r="X209" s="105">
        <v>7</v>
      </c>
      <c r="Y209" s="105">
        <f t="shared" si="175"/>
        <v>0</v>
      </c>
      <c r="Z209" s="104">
        <v>93.9</v>
      </c>
      <c r="AA209" s="105">
        <f t="shared" si="160"/>
        <v>5.5084745762711869</v>
      </c>
      <c r="AB209" s="105">
        <v>6.5</v>
      </c>
      <c r="AC209" s="105">
        <f t="shared" si="176"/>
        <v>610.35</v>
      </c>
      <c r="AD209" s="105">
        <v>0</v>
      </c>
      <c r="AE209" s="105">
        <f t="shared" si="161"/>
        <v>4.2372881355932206</v>
      </c>
      <c r="AF209" s="105">
        <v>5</v>
      </c>
      <c r="AG209" s="105">
        <f t="shared" si="177"/>
        <v>0</v>
      </c>
      <c r="AH209" s="106">
        <v>0</v>
      </c>
      <c r="AI209" s="105">
        <f t="shared" si="162"/>
        <v>9.3220338983050848</v>
      </c>
      <c r="AJ209" s="116">
        <v>11</v>
      </c>
      <c r="AK209" s="105">
        <f t="shared" si="178"/>
        <v>0</v>
      </c>
      <c r="AL209" s="106">
        <v>8.6</v>
      </c>
      <c r="AM209" s="105">
        <f t="shared" si="179"/>
        <v>12.711864406779661</v>
      </c>
      <c r="AN209" s="105">
        <v>15</v>
      </c>
      <c r="AO209" s="105">
        <f t="shared" si="180"/>
        <v>129</v>
      </c>
      <c r="AP209" s="105">
        <f t="shared" si="247"/>
        <v>2212.3474576271187</v>
      </c>
      <c r="AQ209" s="105">
        <f t="shared" si="248"/>
        <v>2610.5700000000002</v>
      </c>
      <c r="AR209" s="106">
        <v>0</v>
      </c>
      <c r="AS209" s="105" t="s">
        <v>312</v>
      </c>
      <c r="AT209" s="107">
        <v>0</v>
      </c>
      <c r="AU209" s="107">
        <f t="shared" si="189"/>
        <v>5.0847457627118651</v>
      </c>
      <c r="AV209" s="107">
        <v>6</v>
      </c>
      <c r="AW209" s="107">
        <f t="shared" si="182"/>
        <v>0</v>
      </c>
      <c r="AX209" s="107">
        <f t="shared" si="181"/>
        <v>0</v>
      </c>
      <c r="AY209" s="108">
        <f t="shared" si="246"/>
        <v>2212.3474576271187</v>
      </c>
      <c r="AZ209" s="109">
        <f t="shared" si="246"/>
        <v>2610.5700000000002</v>
      </c>
      <c r="BA209" s="9"/>
      <c r="BB209" s="9"/>
      <c r="BC209" s="9"/>
      <c r="BD209" s="9"/>
      <c r="BE209" s="45"/>
      <c r="BF209" s="45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</row>
    <row r="210" spans="1:93" s="4" customFormat="1" ht="183" outlineLevel="1" x14ac:dyDescent="0.25">
      <c r="A210" s="100">
        <f>A209+1</f>
        <v>170</v>
      </c>
      <c r="B210" s="101" t="s">
        <v>252</v>
      </c>
      <c r="C210" s="102" t="s">
        <v>63</v>
      </c>
      <c r="D210" s="103" t="s">
        <v>19</v>
      </c>
      <c r="E210" s="104">
        <f t="shared" si="249"/>
        <v>60</v>
      </c>
      <c r="F210" s="105">
        <v>0</v>
      </c>
      <c r="G210" s="105">
        <f t="shared" si="159"/>
        <v>16.949152542372882</v>
      </c>
      <c r="H210" s="105">
        <v>20</v>
      </c>
      <c r="I210" s="105">
        <f t="shared" si="169"/>
        <v>0</v>
      </c>
      <c r="J210" s="104">
        <v>0</v>
      </c>
      <c r="K210" s="105">
        <f t="shared" si="156"/>
        <v>12.711864406779661</v>
      </c>
      <c r="L210" s="105">
        <v>15</v>
      </c>
      <c r="M210" s="105">
        <f t="shared" si="170"/>
        <v>0</v>
      </c>
      <c r="N210" s="106">
        <v>60</v>
      </c>
      <c r="O210" s="105">
        <f t="shared" si="171"/>
        <v>6.6101694915254239</v>
      </c>
      <c r="P210" s="105">
        <v>7.8</v>
      </c>
      <c r="Q210" s="105">
        <f t="shared" si="172"/>
        <v>468</v>
      </c>
      <c r="R210" s="104">
        <v>0</v>
      </c>
      <c r="S210" s="105">
        <f t="shared" si="173"/>
        <v>13.220338983050848</v>
      </c>
      <c r="T210" s="105">
        <v>15.6</v>
      </c>
      <c r="U210" s="105">
        <f t="shared" si="174"/>
        <v>0</v>
      </c>
      <c r="V210" s="105">
        <v>0</v>
      </c>
      <c r="W210" s="105">
        <f t="shared" si="250"/>
        <v>5.9322033898305087</v>
      </c>
      <c r="X210" s="105">
        <v>7</v>
      </c>
      <c r="Y210" s="105">
        <f t="shared" si="175"/>
        <v>0</v>
      </c>
      <c r="Z210" s="104">
        <v>0</v>
      </c>
      <c r="AA210" s="105">
        <f t="shared" si="160"/>
        <v>5.5084745762711869</v>
      </c>
      <c r="AB210" s="105">
        <v>6.5</v>
      </c>
      <c r="AC210" s="105">
        <f t="shared" si="176"/>
        <v>0</v>
      </c>
      <c r="AD210" s="105">
        <v>0</v>
      </c>
      <c r="AE210" s="105">
        <f t="shared" si="161"/>
        <v>4.2372881355932206</v>
      </c>
      <c r="AF210" s="105">
        <v>5</v>
      </c>
      <c r="AG210" s="105">
        <f t="shared" si="177"/>
        <v>0</v>
      </c>
      <c r="AH210" s="106">
        <v>0</v>
      </c>
      <c r="AI210" s="105">
        <f t="shared" si="162"/>
        <v>9.3220338983050848</v>
      </c>
      <c r="AJ210" s="116">
        <v>11</v>
      </c>
      <c r="AK210" s="105">
        <f t="shared" si="178"/>
        <v>0</v>
      </c>
      <c r="AL210" s="106">
        <v>0</v>
      </c>
      <c r="AM210" s="105">
        <f t="shared" si="179"/>
        <v>12.711864406779661</v>
      </c>
      <c r="AN210" s="105">
        <v>15</v>
      </c>
      <c r="AO210" s="105">
        <f t="shared" si="180"/>
        <v>0</v>
      </c>
      <c r="AP210" s="105">
        <f t="shared" si="247"/>
        <v>396.61016949152543</v>
      </c>
      <c r="AQ210" s="105">
        <f t="shared" si="248"/>
        <v>468</v>
      </c>
      <c r="AR210" s="106">
        <v>0</v>
      </c>
      <c r="AS210" s="105" t="s">
        <v>312</v>
      </c>
      <c r="AT210" s="107">
        <v>0</v>
      </c>
      <c r="AU210" s="107">
        <f t="shared" si="189"/>
        <v>5.0847457627118651</v>
      </c>
      <c r="AV210" s="107">
        <v>6</v>
      </c>
      <c r="AW210" s="107">
        <f t="shared" si="182"/>
        <v>0</v>
      </c>
      <c r="AX210" s="107">
        <f t="shared" si="181"/>
        <v>0</v>
      </c>
      <c r="AY210" s="108">
        <f t="shared" si="246"/>
        <v>396.61016949152543</v>
      </c>
      <c r="AZ210" s="109">
        <f t="shared" si="246"/>
        <v>468</v>
      </c>
      <c r="BA210" s="9"/>
      <c r="BB210" s="9"/>
      <c r="BC210" s="9"/>
      <c r="BD210" s="9"/>
      <c r="BE210" s="45"/>
      <c r="BF210" s="45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</row>
    <row r="211" spans="1:93" s="5" customFormat="1" ht="45.75" outlineLevel="1" x14ac:dyDescent="0.25">
      <c r="A211" s="151" t="s">
        <v>239</v>
      </c>
      <c r="B211" s="152"/>
      <c r="C211" s="152"/>
      <c r="D211" s="110"/>
      <c r="E211" s="104"/>
      <c r="F211" s="110"/>
      <c r="G211" s="110"/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  <c r="AA211" s="110"/>
      <c r="AB211" s="110"/>
      <c r="AC211" s="110"/>
      <c r="AD211" s="110"/>
      <c r="AE211" s="110"/>
      <c r="AF211" s="110"/>
      <c r="AG211" s="110"/>
      <c r="AH211" s="110"/>
      <c r="AI211" s="110"/>
      <c r="AJ211" s="110"/>
      <c r="AK211" s="110"/>
      <c r="AL211" s="110"/>
      <c r="AM211" s="110"/>
      <c r="AN211" s="110"/>
      <c r="AO211" s="110"/>
      <c r="AP211" s="105"/>
      <c r="AQ211" s="105"/>
      <c r="AR211" s="110"/>
      <c r="AS211" s="105"/>
      <c r="AT211" s="110"/>
      <c r="AU211" s="110"/>
      <c r="AV211" s="110"/>
      <c r="AW211" s="110"/>
      <c r="AX211" s="110"/>
      <c r="AY211" s="108"/>
      <c r="AZ211" s="109"/>
      <c r="BA211" s="9"/>
      <c r="BB211" s="9"/>
      <c r="BC211" s="9"/>
      <c r="BD211" s="9"/>
      <c r="BE211" s="9"/>
      <c r="BF211" s="9"/>
    </row>
    <row r="212" spans="1:93" s="4" customFormat="1" ht="320.25" outlineLevel="1" x14ac:dyDescent="0.25">
      <c r="A212" s="100">
        <f>A210+1</f>
        <v>171</v>
      </c>
      <c r="B212" s="101" t="s">
        <v>252</v>
      </c>
      <c r="C212" s="102" t="s">
        <v>193</v>
      </c>
      <c r="D212" s="103" t="s">
        <v>19</v>
      </c>
      <c r="E212" s="104">
        <f t="shared" si="249"/>
        <v>345.40000000000003</v>
      </c>
      <c r="F212" s="105">
        <v>0</v>
      </c>
      <c r="G212" s="105">
        <f t="shared" si="159"/>
        <v>16.949152542372882</v>
      </c>
      <c r="H212" s="105">
        <v>20</v>
      </c>
      <c r="I212" s="105">
        <f t="shared" si="169"/>
        <v>0</v>
      </c>
      <c r="J212" s="104">
        <f>103.4+38.2</f>
        <v>141.60000000000002</v>
      </c>
      <c r="K212" s="105">
        <f t="shared" si="156"/>
        <v>12.711864406779661</v>
      </c>
      <c r="L212" s="105">
        <v>15</v>
      </c>
      <c r="M212" s="105">
        <f t="shared" si="170"/>
        <v>2124.0000000000005</v>
      </c>
      <c r="N212" s="106">
        <v>0</v>
      </c>
      <c r="O212" s="105">
        <f t="shared" si="171"/>
        <v>6.6101694915254239</v>
      </c>
      <c r="P212" s="105">
        <v>7.8</v>
      </c>
      <c r="Q212" s="105">
        <f t="shared" si="172"/>
        <v>0</v>
      </c>
      <c r="R212" s="104">
        <v>0</v>
      </c>
      <c r="S212" s="105">
        <f t="shared" si="173"/>
        <v>13.220338983050848</v>
      </c>
      <c r="T212" s="105">
        <v>15.6</v>
      </c>
      <c r="U212" s="105">
        <f t="shared" si="174"/>
        <v>0</v>
      </c>
      <c r="V212" s="105">
        <v>0</v>
      </c>
      <c r="W212" s="105">
        <f t="shared" ref="W212:W213" si="251">X212/1.18</f>
        <v>5.9322033898305087</v>
      </c>
      <c r="X212" s="105">
        <v>7</v>
      </c>
      <c r="Y212" s="105">
        <f t="shared" si="175"/>
        <v>0</v>
      </c>
      <c r="Z212" s="104">
        <v>162.69999999999999</v>
      </c>
      <c r="AA212" s="105">
        <f t="shared" si="160"/>
        <v>5.5084745762711869</v>
      </c>
      <c r="AB212" s="105">
        <v>6.5</v>
      </c>
      <c r="AC212" s="105">
        <f t="shared" si="176"/>
        <v>1057.55</v>
      </c>
      <c r="AD212" s="105">
        <v>0</v>
      </c>
      <c r="AE212" s="105">
        <f t="shared" si="161"/>
        <v>4.2372881355932206</v>
      </c>
      <c r="AF212" s="105">
        <v>5</v>
      </c>
      <c r="AG212" s="105">
        <f t="shared" si="177"/>
        <v>0</v>
      </c>
      <c r="AH212" s="106">
        <v>41.1</v>
      </c>
      <c r="AI212" s="105">
        <f t="shared" si="162"/>
        <v>9.3220338983050848</v>
      </c>
      <c r="AJ212" s="116">
        <v>11</v>
      </c>
      <c r="AK212" s="105">
        <f t="shared" si="178"/>
        <v>452.1</v>
      </c>
      <c r="AL212" s="106">
        <v>0</v>
      </c>
      <c r="AM212" s="105">
        <f t="shared" si="179"/>
        <v>12.711864406779661</v>
      </c>
      <c r="AN212" s="105">
        <v>15</v>
      </c>
      <c r="AO212" s="105">
        <f t="shared" si="180"/>
        <v>0</v>
      </c>
      <c r="AP212" s="105">
        <f t="shared" si="247"/>
        <v>3079.3644067796613</v>
      </c>
      <c r="AQ212" s="105">
        <f t="shared" si="248"/>
        <v>3633.65</v>
      </c>
      <c r="AR212" s="106">
        <v>70</v>
      </c>
      <c r="AS212" s="105" t="s">
        <v>312</v>
      </c>
      <c r="AT212" s="107">
        <v>0</v>
      </c>
      <c r="AU212" s="107">
        <f t="shared" si="189"/>
        <v>5.0847457627118651</v>
      </c>
      <c r="AV212" s="107">
        <v>6</v>
      </c>
      <c r="AW212" s="107">
        <f t="shared" si="182"/>
        <v>355.93220338983053</v>
      </c>
      <c r="AX212" s="107">
        <f t="shared" si="181"/>
        <v>420</v>
      </c>
      <c r="AY212" s="108">
        <f t="shared" si="246"/>
        <v>3435.2966101694919</v>
      </c>
      <c r="AZ212" s="109">
        <f t="shared" si="246"/>
        <v>4053.65</v>
      </c>
      <c r="BA212" s="9"/>
      <c r="BB212" s="9"/>
      <c r="BC212" s="9"/>
      <c r="BD212" s="9"/>
      <c r="BE212" s="45"/>
      <c r="BF212" s="45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</row>
    <row r="213" spans="1:93" s="4" customFormat="1" ht="320.25" outlineLevel="1" x14ac:dyDescent="0.25">
      <c r="A213" s="100">
        <f>A212+1</f>
        <v>172</v>
      </c>
      <c r="B213" s="101" t="s">
        <v>252</v>
      </c>
      <c r="C213" s="102" t="s">
        <v>194</v>
      </c>
      <c r="D213" s="103" t="s">
        <v>19</v>
      </c>
      <c r="E213" s="104">
        <f t="shared" si="249"/>
        <v>773.9</v>
      </c>
      <c r="F213" s="105">
        <v>0</v>
      </c>
      <c r="G213" s="105">
        <f t="shared" si="159"/>
        <v>16.949152542372882</v>
      </c>
      <c r="H213" s="105">
        <v>20</v>
      </c>
      <c r="I213" s="105">
        <f t="shared" si="169"/>
        <v>0</v>
      </c>
      <c r="J213" s="104">
        <v>143.30000000000001</v>
      </c>
      <c r="K213" s="105">
        <f t="shared" si="156"/>
        <v>12.711864406779661</v>
      </c>
      <c r="L213" s="105">
        <v>15</v>
      </c>
      <c r="M213" s="105">
        <f t="shared" si="170"/>
        <v>2149.5</v>
      </c>
      <c r="N213" s="106">
        <v>245.8</v>
      </c>
      <c r="O213" s="105">
        <f t="shared" si="171"/>
        <v>6.6101694915254239</v>
      </c>
      <c r="P213" s="105">
        <v>7.8</v>
      </c>
      <c r="Q213" s="105">
        <f t="shared" si="172"/>
        <v>1917.24</v>
      </c>
      <c r="R213" s="104">
        <v>39.5</v>
      </c>
      <c r="S213" s="105">
        <f t="shared" si="173"/>
        <v>13.220338983050848</v>
      </c>
      <c r="T213" s="105">
        <v>15.6</v>
      </c>
      <c r="U213" s="105">
        <f t="shared" si="174"/>
        <v>616.19999999999993</v>
      </c>
      <c r="V213" s="105">
        <v>156.4</v>
      </c>
      <c r="W213" s="105">
        <f t="shared" si="251"/>
        <v>5.9322033898305087</v>
      </c>
      <c r="X213" s="105">
        <v>7</v>
      </c>
      <c r="Y213" s="105">
        <f t="shared" si="175"/>
        <v>1094.8</v>
      </c>
      <c r="Z213" s="104">
        <v>164.5</v>
      </c>
      <c r="AA213" s="105">
        <f t="shared" si="160"/>
        <v>5.5084745762711869</v>
      </c>
      <c r="AB213" s="105">
        <v>6.5</v>
      </c>
      <c r="AC213" s="105">
        <f t="shared" si="176"/>
        <v>1069.25</v>
      </c>
      <c r="AD213" s="105">
        <v>0</v>
      </c>
      <c r="AE213" s="105">
        <f t="shared" si="161"/>
        <v>4.2372881355932206</v>
      </c>
      <c r="AF213" s="105">
        <v>5</v>
      </c>
      <c r="AG213" s="105">
        <f t="shared" si="177"/>
        <v>0</v>
      </c>
      <c r="AH213" s="106">
        <v>0</v>
      </c>
      <c r="AI213" s="105">
        <f t="shared" si="162"/>
        <v>9.3220338983050848</v>
      </c>
      <c r="AJ213" s="116">
        <v>11</v>
      </c>
      <c r="AK213" s="105">
        <f t="shared" si="178"/>
        <v>0</v>
      </c>
      <c r="AL213" s="106">
        <v>24.4</v>
      </c>
      <c r="AM213" s="105">
        <f t="shared" si="179"/>
        <v>12.711864406779661</v>
      </c>
      <c r="AN213" s="105">
        <v>15</v>
      </c>
      <c r="AO213" s="105">
        <f t="shared" si="180"/>
        <v>366</v>
      </c>
      <c r="AP213" s="105">
        <f t="shared" si="247"/>
        <v>6112.703389830509</v>
      </c>
      <c r="AQ213" s="105">
        <f t="shared" si="248"/>
        <v>7212.99</v>
      </c>
      <c r="AR213" s="106">
        <v>70</v>
      </c>
      <c r="AS213" s="105" t="s">
        <v>312</v>
      </c>
      <c r="AT213" s="107">
        <v>0</v>
      </c>
      <c r="AU213" s="107">
        <f t="shared" si="189"/>
        <v>5.0847457627118651</v>
      </c>
      <c r="AV213" s="107">
        <v>6</v>
      </c>
      <c r="AW213" s="107">
        <f t="shared" si="182"/>
        <v>355.93220338983053</v>
      </c>
      <c r="AX213" s="107">
        <f t="shared" si="181"/>
        <v>420</v>
      </c>
      <c r="AY213" s="108">
        <f t="shared" si="246"/>
        <v>6468.6355932203396</v>
      </c>
      <c r="AZ213" s="109">
        <f t="shared" si="246"/>
        <v>7632.99</v>
      </c>
      <c r="BA213" s="9"/>
      <c r="BB213" s="9"/>
      <c r="BC213" s="9"/>
      <c r="BD213" s="9"/>
      <c r="BE213" s="45"/>
      <c r="BF213" s="45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</row>
    <row r="214" spans="1:93" s="4" customFormat="1" ht="274.5" outlineLevel="1" x14ac:dyDescent="0.25">
      <c r="A214" s="100">
        <f>A213+1</f>
        <v>173</v>
      </c>
      <c r="B214" s="101" t="s">
        <v>252</v>
      </c>
      <c r="C214" s="102" t="s">
        <v>201</v>
      </c>
      <c r="D214" s="103" t="s">
        <v>19</v>
      </c>
      <c r="E214" s="104">
        <f t="shared" si="249"/>
        <v>1020.75</v>
      </c>
      <c r="F214" s="105">
        <v>0</v>
      </c>
      <c r="G214" s="105">
        <f t="shared" ref="G214:G258" si="252">H214/1.18</f>
        <v>16.949152542372882</v>
      </c>
      <c r="H214" s="105">
        <v>20</v>
      </c>
      <c r="I214" s="105">
        <f t="shared" si="169"/>
        <v>0</v>
      </c>
      <c r="J214" s="104">
        <v>342.15</v>
      </c>
      <c r="K214" s="105">
        <f t="shared" ref="K214:K258" si="253">L214/1.18</f>
        <v>12.711864406779661</v>
      </c>
      <c r="L214" s="105">
        <v>15</v>
      </c>
      <c r="M214" s="105">
        <f t="shared" si="170"/>
        <v>5132.25</v>
      </c>
      <c r="N214" s="106">
        <v>678.6</v>
      </c>
      <c r="O214" s="105">
        <f t="shared" si="171"/>
        <v>6.6101694915254239</v>
      </c>
      <c r="P214" s="105">
        <v>7.8</v>
      </c>
      <c r="Q214" s="105">
        <f t="shared" si="172"/>
        <v>5293.08</v>
      </c>
      <c r="R214" s="104">
        <v>0</v>
      </c>
      <c r="S214" s="105">
        <f t="shared" si="173"/>
        <v>13.220338983050848</v>
      </c>
      <c r="T214" s="105">
        <v>15.6</v>
      </c>
      <c r="U214" s="105">
        <f t="shared" si="174"/>
        <v>0</v>
      </c>
      <c r="V214" s="105">
        <v>0</v>
      </c>
      <c r="W214" s="105">
        <f t="shared" ref="W214" si="254">X214/1.18</f>
        <v>5.9322033898305087</v>
      </c>
      <c r="X214" s="105">
        <v>7</v>
      </c>
      <c r="Y214" s="105">
        <f t="shared" si="175"/>
        <v>0</v>
      </c>
      <c r="Z214" s="104">
        <v>0</v>
      </c>
      <c r="AA214" s="105">
        <f t="shared" ref="AA214:AA258" si="255">AB214/1.18</f>
        <v>5.5084745762711869</v>
      </c>
      <c r="AB214" s="105">
        <v>6.5</v>
      </c>
      <c r="AC214" s="105">
        <f t="shared" si="176"/>
        <v>0</v>
      </c>
      <c r="AD214" s="105">
        <v>0</v>
      </c>
      <c r="AE214" s="105">
        <f t="shared" ref="AE214:AE258" si="256">AF214/1.18</f>
        <v>4.2372881355932206</v>
      </c>
      <c r="AF214" s="105">
        <v>5</v>
      </c>
      <c r="AG214" s="105">
        <f t="shared" si="177"/>
        <v>0</v>
      </c>
      <c r="AH214" s="106">
        <v>0</v>
      </c>
      <c r="AI214" s="105">
        <f t="shared" ref="AI214:AI258" si="257">AJ214/1.18</f>
        <v>9.3220338983050848</v>
      </c>
      <c r="AJ214" s="116">
        <v>11</v>
      </c>
      <c r="AK214" s="105">
        <f t="shared" si="178"/>
        <v>0</v>
      </c>
      <c r="AL214" s="106">
        <v>0</v>
      </c>
      <c r="AM214" s="105">
        <f t="shared" si="179"/>
        <v>12.711864406779661</v>
      </c>
      <c r="AN214" s="105">
        <v>15</v>
      </c>
      <c r="AO214" s="105">
        <f t="shared" si="180"/>
        <v>0</v>
      </c>
      <c r="AP214" s="105">
        <f t="shared" si="247"/>
        <v>8835.0254237288136</v>
      </c>
      <c r="AQ214" s="105">
        <f t="shared" si="248"/>
        <v>10425.33</v>
      </c>
      <c r="AR214" s="106">
        <v>420</v>
      </c>
      <c r="AS214" s="105" t="s">
        <v>312</v>
      </c>
      <c r="AT214" s="107">
        <v>0</v>
      </c>
      <c r="AU214" s="107">
        <f t="shared" ref="AU214" si="258">AV214/1.18</f>
        <v>5.0847457627118651</v>
      </c>
      <c r="AV214" s="107">
        <v>6</v>
      </c>
      <c r="AW214" s="107">
        <f t="shared" si="182"/>
        <v>2135.5932203389834</v>
      </c>
      <c r="AX214" s="107">
        <f t="shared" si="181"/>
        <v>2520</v>
      </c>
      <c r="AY214" s="108">
        <f t="shared" si="246"/>
        <v>10970.618644067798</v>
      </c>
      <c r="AZ214" s="109">
        <f t="shared" si="246"/>
        <v>12945.33</v>
      </c>
      <c r="BA214" s="9"/>
      <c r="BB214" s="9"/>
      <c r="BC214" s="9"/>
      <c r="BD214" s="9"/>
      <c r="BE214" s="45"/>
      <c r="BF214" s="45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</row>
    <row r="215" spans="1:93" s="31" customFormat="1" ht="45.75" outlineLevel="1" x14ac:dyDescent="0.3">
      <c r="A215" s="149" t="s">
        <v>293</v>
      </c>
      <c r="B215" s="150"/>
      <c r="C215" s="150"/>
      <c r="D215" s="133"/>
      <c r="E215" s="104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133"/>
      <c r="AB215" s="133"/>
      <c r="AC215" s="133"/>
      <c r="AD215" s="133"/>
      <c r="AE215" s="133"/>
      <c r="AF215" s="133"/>
      <c r="AG215" s="133"/>
      <c r="AH215" s="133"/>
      <c r="AI215" s="133"/>
      <c r="AJ215" s="133"/>
      <c r="AK215" s="133"/>
      <c r="AL215" s="133"/>
      <c r="AM215" s="133"/>
      <c r="AN215" s="133"/>
      <c r="AO215" s="133"/>
      <c r="AP215" s="111"/>
      <c r="AQ215" s="111"/>
      <c r="AR215" s="133"/>
      <c r="AS215" s="105"/>
      <c r="AT215" s="133"/>
      <c r="AU215" s="133"/>
      <c r="AV215" s="133"/>
      <c r="AW215" s="133"/>
      <c r="AX215" s="133"/>
      <c r="AY215" s="111"/>
      <c r="AZ215" s="112"/>
      <c r="BA215" s="30"/>
      <c r="BB215" s="30"/>
      <c r="BC215" s="30"/>
      <c r="BD215" s="30"/>
      <c r="BE215" s="30"/>
      <c r="BF215" s="30"/>
    </row>
    <row r="216" spans="1:93" s="4" customFormat="1" ht="274.5" outlineLevel="1" x14ac:dyDescent="0.25">
      <c r="A216" s="100">
        <f>A214+1</f>
        <v>174</v>
      </c>
      <c r="B216" s="101" t="s">
        <v>298</v>
      </c>
      <c r="C216" s="102" t="s">
        <v>297</v>
      </c>
      <c r="D216" s="103"/>
      <c r="E216" s="104">
        <f t="shared" si="249"/>
        <v>145.1</v>
      </c>
      <c r="F216" s="105">
        <v>0</v>
      </c>
      <c r="G216" s="105">
        <f t="shared" si="252"/>
        <v>16.949152542372882</v>
      </c>
      <c r="H216" s="105">
        <v>20</v>
      </c>
      <c r="I216" s="105">
        <f t="shared" ref="I216:I258" si="259">H216*F216</f>
        <v>0</v>
      </c>
      <c r="J216" s="104">
        <f>21+11.9+30.8+49.8</f>
        <v>113.5</v>
      </c>
      <c r="K216" s="105">
        <f t="shared" si="253"/>
        <v>12.711864406779661</v>
      </c>
      <c r="L216" s="105">
        <v>15</v>
      </c>
      <c r="M216" s="105">
        <f t="shared" ref="M216:M258" si="260">L216*J216</f>
        <v>1702.5</v>
      </c>
      <c r="N216" s="106">
        <v>0</v>
      </c>
      <c r="O216" s="105">
        <f t="shared" ref="O216:O258" si="261">P216/1.18</f>
        <v>6.6101694915254239</v>
      </c>
      <c r="P216" s="105">
        <v>7.8</v>
      </c>
      <c r="Q216" s="105">
        <f t="shared" ref="Q216:Q258" si="262">P216*N216</f>
        <v>0</v>
      </c>
      <c r="R216" s="104">
        <v>0</v>
      </c>
      <c r="S216" s="105">
        <f t="shared" ref="S216:S258" si="263">T216/1.18</f>
        <v>13.220338983050848</v>
      </c>
      <c r="T216" s="105">
        <v>15.6</v>
      </c>
      <c r="U216" s="105">
        <f t="shared" ref="U216:U258" si="264">T216*R216</f>
        <v>0</v>
      </c>
      <c r="V216" s="105">
        <v>0</v>
      </c>
      <c r="W216" s="105">
        <f t="shared" ref="W216:W219" si="265">X216/1.18</f>
        <v>5.9322033898305087</v>
      </c>
      <c r="X216" s="105">
        <v>7</v>
      </c>
      <c r="Y216" s="105">
        <f t="shared" ref="Y216:Y258" si="266">X216*V216</f>
        <v>0</v>
      </c>
      <c r="Z216" s="104">
        <f>26.9</f>
        <v>26.9</v>
      </c>
      <c r="AA216" s="105">
        <f t="shared" si="255"/>
        <v>5.5084745762711869</v>
      </c>
      <c r="AB216" s="105">
        <v>6.5</v>
      </c>
      <c r="AC216" s="105">
        <f t="shared" ref="AC216:AC254" si="267">AB216*Z216</f>
        <v>174.85</v>
      </c>
      <c r="AD216" s="105">
        <v>0</v>
      </c>
      <c r="AE216" s="105">
        <f t="shared" si="256"/>
        <v>4.2372881355932206</v>
      </c>
      <c r="AF216" s="105">
        <v>5</v>
      </c>
      <c r="AG216" s="105">
        <f t="shared" ref="AG216:AG252" si="268">AF216*AD216</f>
        <v>0</v>
      </c>
      <c r="AH216" s="106">
        <v>0</v>
      </c>
      <c r="AI216" s="105">
        <f t="shared" si="257"/>
        <v>9.3220338983050848</v>
      </c>
      <c r="AJ216" s="116">
        <v>11</v>
      </c>
      <c r="AK216" s="105">
        <f t="shared" ref="AK216:AK258" si="269">AJ216*AH216</f>
        <v>0</v>
      </c>
      <c r="AL216" s="106">
        <f>2.9+1.8</f>
        <v>4.7</v>
      </c>
      <c r="AM216" s="105">
        <f t="shared" ref="AM216:AM258" si="270">AN216/1.18</f>
        <v>12.711864406779661</v>
      </c>
      <c r="AN216" s="105">
        <v>15</v>
      </c>
      <c r="AO216" s="105">
        <f t="shared" ref="AO216:AO258" si="271">AN216*AL216</f>
        <v>70.5</v>
      </c>
      <c r="AP216" s="105">
        <f t="shared" si="247"/>
        <v>1650.7203389830509</v>
      </c>
      <c r="AQ216" s="105">
        <f t="shared" si="248"/>
        <v>1947.85</v>
      </c>
      <c r="AR216" s="106">
        <v>0</v>
      </c>
      <c r="AS216" s="105" t="s">
        <v>312</v>
      </c>
      <c r="AT216" s="107">
        <v>0</v>
      </c>
      <c r="AU216" s="107">
        <f t="shared" ref="AU216:AU255" si="272">AV216/1.18</f>
        <v>5.0847457627118651</v>
      </c>
      <c r="AV216" s="107">
        <v>6</v>
      </c>
      <c r="AW216" s="107">
        <f t="shared" ref="AW216:AW255" si="273">AU216*AR216</f>
        <v>0</v>
      </c>
      <c r="AX216" s="107">
        <f t="shared" ref="AX216:AX219" si="274">AV216*AR216</f>
        <v>0</v>
      </c>
      <c r="AY216" s="108">
        <f t="shared" si="246"/>
        <v>1650.7203389830509</v>
      </c>
      <c r="AZ216" s="109">
        <f t="shared" si="246"/>
        <v>1947.85</v>
      </c>
      <c r="BA216" s="9"/>
      <c r="BB216" s="9"/>
      <c r="BC216" s="9"/>
      <c r="BD216" s="9"/>
      <c r="BE216" s="45"/>
      <c r="BF216" s="45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</row>
    <row r="217" spans="1:93" s="4" customFormat="1" ht="320.25" outlineLevel="1" x14ac:dyDescent="0.25">
      <c r="A217" s="100">
        <f>A216+1</f>
        <v>175</v>
      </c>
      <c r="B217" s="101" t="s">
        <v>299</v>
      </c>
      <c r="C217" s="102" t="s">
        <v>301</v>
      </c>
      <c r="D217" s="103"/>
      <c r="E217" s="104">
        <f t="shared" si="249"/>
        <v>128.47999999999999</v>
      </c>
      <c r="F217" s="105">
        <v>0</v>
      </c>
      <c r="G217" s="105">
        <f t="shared" si="252"/>
        <v>16.949152542372882</v>
      </c>
      <c r="H217" s="105">
        <v>20</v>
      </c>
      <c r="I217" s="105">
        <f t="shared" si="259"/>
        <v>0</v>
      </c>
      <c r="J217" s="104">
        <f>38.4</f>
        <v>38.4</v>
      </c>
      <c r="K217" s="105">
        <f t="shared" si="253"/>
        <v>12.711864406779661</v>
      </c>
      <c r="L217" s="105">
        <v>15</v>
      </c>
      <c r="M217" s="105">
        <f t="shared" si="260"/>
        <v>576</v>
      </c>
      <c r="N217" s="106">
        <f>18.5</f>
        <v>18.5</v>
      </c>
      <c r="O217" s="105">
        <f t="shared" si="261"/>
        <v>6.6101694915254239</v>
      </c>
      <c r="P217" s="105">
        <v>7.8</v>
      </c>
      <c r="Q217" s="105">
        <f t="shared" si="262"/>
        <v>144.29999999999998</v>
      </c>
      <c r="R217" s="104">
        <v>0</v>
      </c>
      <c r="S217" s="105">
        <f t="shared" si="263"/>
        <v>13.220338983050848</v>
      </c>
      <c r="T217" s="105">
        <v>15.6</v>
      </c>
      <c r="U217" s="105">
        <f t="shared" si="264"/>
        <v>0</v>
      </c>
      <c r="V217" s="105">
        <v>15.05</v>
      </c>
      <c r="W217" s="105">
        <f t="shared" si="265"/>
        <v>5.9322033898305087</v>
      </c>
      <c r="X217" s="105">
        <v>7</v>
      </c>
      <c r="Y217" s="105">
        <f t="shared" si="266"/>
        <v>105.35000000000001</v>
      </c>
      <c r="Z217" s="104">
        <f>8.1+9.3+14.85+6.75+3.45+11.55</f>
        <v>54</v>
      </c>
      <c r="AA217" s="105">
        <f t="shared" si="255"/>
        <v>5.5084745762711869</v>
      </c>
      <c r="AB217" s="105">
        <v>6.5</v>
      </c>
      <c r="AC217" s="105">
        <f t="shared" si="267"/>
        <v>351</v>
      </c>
      <c r="AD217" s="105">
        <v>0</v>
      </c>
      <c r="AE217" s="105">
        <f t="shared" si="256"/>
        <v>4.2372881355932206</v>
      </c>
      <c r="AF217" s="105">
        <v>5</v>
      </c>
      <c r="AG217" s="105">
        <f t="shared" si="268"/>
        <v>0</v>
      </c>
      <c r="AH217" s="106">
        <v>0</v>
      </c>
      <c r="AI217" s="105">
        <f t="shared" si="257"/>
        <v>9.3220338983050848</v>
      </c>
      <c r="AJ217" s="116">
        <v>11</v>
      </c>
      <c r="AK217" s="105">
        <f t="shared" si="269"/>
        <v>0</v>
      </c>
      <c r="AL217" s="106">
        <v>2.5299999999999998</v>
      </c>
      <c r="AM217" s="105">
        <f t="shared" si="270"/>
        <v>12.711864406779661</v>
      </c>
      <c r="AN217" s="105">
        <v>15</v>
      </c>
      <c r="AO217" s="105">
        <f t="shared" si="271"/>
        <v>37.949999999999996</v>
      </c>
      <c r="AP217" s="105">
        <f t="shared" si="247"/>
        <v>1029.3220338983053</v>
      </c>
      <c r="AQ217" s="105">
        <f t="shared" si="248"/>
        <v>1214.6000000000001</v>
      </c>
      <c r="AR217" s="106">
        <v>0</v>
      </c>
      <c r="AS217" s="105" t="s">
        <v>312</v>
      </c>
      <c r="AT217" s="107">
        <v>0</v>
      </c>
      <c r="AU217" s="107">
        <f t="shared" si="272"/>
        <v>5.0847457627118651</v>
      </c>
      <c r="AV217" s="107">
        <v>6</v>
      </c>
      <c r="AW217" s="107">
        <f t="shared" si="273"/>
        <v>0</v>
      </c>
      <c r="AX217" s="107">
        <f t="shared" si="274"/>
        <v>0</v>
      </c>
      <c r="AY217" s="108">
        <f t="shared" si="246"/>
        <v>1029.3220338983053</v>
      </c>
      <c r="AZ217" s="109">
        <f t="shared" si="246"/>
        <v>1214.6000000000001</v>
      </c>
      <c r="BA217" s="9"/>
      <c r="BB217" s="9"/>
      <c r="BC217" s="9"/>
      <c r="BD217" s="9"/>
      <c r="BE217" s="45"/>
      <c r="BF217" s="45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</row>
    <row r="218" spans="1:93" s="4" customFormat="1" ht="183" outlineLevel="1" x14ac:dyDescent="0.25">
      <c r="A218" s="100">
        <f t="shared" ref="A218:A219" si="275">A217+1</f>
        <v>176</v>
      </c>
      <c r="B218" s="101" t="s">
        <v>300</v>
      </c>
      <c r="C218" s="102" t="s">
        <v>302</v>
      </c>
      <c r="D218" s="103"/>
      <c r="E218" s="104">
        <f t="shared" si="249"/>
        <v>17</v>
      </c>
      <c r="F218" s="105">
        <v>0</v>
      </c>
      <c r="G218" s="105">
        <f t="shared" si="252"/>
        <v>16.949152542372882</v>
      </c>
      <c r="H218" s="105">
        <v>20</v>
      </c>
      <c r="I218" s="105">
        <f t="shared" si="259"/>
        <v>0</v>
      </c>
      <c r="J218" s="104">
        <v>0</v>
      </c>
      <c r="K218" s="105">
        <f t="shared" si="253"/>
        <v>12.711864406779661</v>
      </c>
      <c r="L218" s="105">
        <v>15</v>
      </c>
      <c r="M218" s="105">
        <f t="shared" si="260"/>
        <v>0</v>
      </c>
      <c r="N218" s="106">
        <v>17</v>
      </c>
      <c r="O218" s="105">
        <f t="shared" si="261"/>
        <v>6.6101694915254239</v>
      </c>
      <c r="P218" s="105">
        <v>7.8</v>
      </c>
      <c r="Q218" s="105">
        <f t="shared" si="262"/>
        <v>132.6</v>
      </c>
      <c r="R218" s="104">
        <v>0</v>
      </c>
      <c r="S218" s="105">
        <f t="shared" si="263"/>
        <v>13.220338983050848</v>
      </c>
      <c r="T218" s="105">
        <v>15.6</v>
      </c>
      <c r="U218" s="105">
        <f t="shared" si="264"/>
        <v>0</v>
      </c>
      <c r="V218" s="105">
        <v>0</v>
      </c>
      <c r="W218" s="105">
        <f t="shared" si="265"/>
        <v>5.9322033898305087</v>
      </c>
      <c r="X218" s="105">
        <v>7</v>
      </c>
      <c r="Y218" s="105">
        <f t="shared" si="266"/>
        <v>0</v>
      </c>
      <c r="Z218" s="104">
        <v>0</v>
      </c>
      <c r="AA218" s="105">
        <f t="shared" si="255"/>
        <v>5.5084745762711869</v>
      </c>
      <c r="AB218" s="105">
        <v>6.5</v>
      </c>
      <c r="AC218" s="105">
        <f t="shared" si="267"/>
        <v>0</v>
      </c>
      <c r="AD218" s="105">
        <v>0</v>
      </c>
      <c r="AE218" s="105">
        <f t="shared" si="256"/>
        <v>4.2372881355932206</v>
      </c>
      <c r="AF218" s="105">
        <v>5</v>
      </c>
      <c r="AG218" s="105">
        <f t="shared" si="268"/>
        <v>0</v>
      </c>
      <c r="AH218" s="106">
        <v>0</v>
      </c>
      <c r="AI218" s="105">
        <f t="shared" si="257"/>
        <v>9.3220338983050848</v>
      </c>
      <c r="AJ218" s="116">
        <v>11</v>
      </c>
      <c r="AK218" s="105">
        <f t="shared" si="269"/>
        <v>0</v>
      </c>
      <c r="AL218" s="106">
        <v>0</v>
      </c>
      <c r="AM218" s="105">
        <f t="shared" si="270"/>
        <v>12.711864406779661</v>
      </c>
      <c r="AN218" s="105">
        <v>15</v>
      </c>
      <c r="AO218" s="105">
        <f t="shared" si="271"/>
        <v>0</v>
      </c>
      <c r="AP218" s="105">
        <f t="shared" si="247"/>
        <v>112.37288135593221</v>
      </c>
      <c r="AQ218" s="105">
        <f t="shared" si="248"/>
        <v>132.6</v>
      </c>
      <c r="AR218" s="106">
        <v>0</v>
      </c>
      <c r="AS218" s="105" t="s">
        <v>312</v>
      </c>
      <c r="AT218" s="107">
        <v>0</v>
      </c>
      <c r="AU218" s="107">
        <f t="shared" si="272"/>
        <v>5.0847457627118651</v>
      </c>
      <c r="AV218" s="107">
        <v>6</v>
      </c>
      <c r="AW218" s="107">
        <f t="shared" si="273"/>
        <v>0</v>
      </c>
      <c r="AX218" s="107">
        <f t="shared" si="274"/>
        <v>0</v>
      </c>
      <c r="AY218" s="108">
        <f t="shared" si="246"/>
        <v>112.37288135593221</v>
      </c>
      <c r="AZ218" s="109">
        <f t="shared" si="246"/>
        <v>132.6</v>
      </c>
      <c r="BA218" s="9"/>
      <c r="BB218" s="9"/>
      <c r="BC218" s="9"/>
      <c r="BD218" s="9"/>
      <c r="BE218" s="45"/>
      <c r="BF218" s="45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</row>
    <row r="219" spans="1:93" s="4" customFormat="1" ht="183" outlineLevel="1" x14ac:dyDescent="0.25">
      <c r="A219" s="100">
        <f t="shared" si="275"/>
        <v>177</v>
      </c>
      <c r="B219" s="101" t="s">
        <v>300</v>
      </c>
      <c r="C219" s="102" t="s">
        <v>303</v>
      </c>
      <c r="D219" s="103"/>
      <c r="E219" s="104">
        <f t="shared" si="249"/>
        <v>22</v>
      </c>
      <c r="F219" s="105">
        <v>0</v>
      </c>
      <c r="G219" s="105">
        <f t="shared" si="252"/>
        <v>16.949152542372882</v>
      </c>
      <c r="H219" s="105">
        <v>20</v>
      </c>
      <c r="I219" s="105">
        <f t="shared" si="259"/>
        <v>0</v>
      </c>
      <c r="J219" s="104">
        <v>0</v>
      </c>
      <c r="K219" s="105">
        <f t="shared" si="253"/>
        <v>12.711864406779661</v>
      </c>
      <c r="L219" s="105">
        <v>15</v>
      </c>
      <c r="M219" s="105">
        <f t="shared" si="260"/>
        <v>0</v>
      </c>
      <c r="N219" s="106">
        <v>22</v>
      </c>
      <c r="O219" s="105">
        <f t="shared" si="261"/>
        <v>6.6101694915254239</v>
      </c>
      <c r="P219" s="105">
        <v>7.8</v>
      </c>
      <c r="Q219" s="105">
        <f t="shared" si="262"/>
        <v>171.6</v>
      </c>
      <c r="R219" s="104">
        <v>0</v>
      </c>
      <c r="S219" s="105">
        <f t="shared" si="263"/>
        <v>13.220338983050848</v>
      </c>
      <c r="T219" s="105">
        <v>15.6</v>
      </c>
      <c r="U219" s="105">
        <f t="shared" si="264"/>
        <v>0</v>
      </c>
      <c r="V219" s="105">
        <v>0</v>
      </c>
      <c r="W219" s="105">
        <f t="shared" si="265"/>
        <v>5.9322033898305087</v>
      </c>
      <c r="X219" s="105">
        <v>7</v>
      </c>
      <c r="Y219" s="105">
        <f t="shared" si="266"/>
        <v>0</v>
      </c>
      <c r="Z219" s="104">
        <v>0</v>
      </c>
      <c r="AA219" s="105">
        <f t="shared" si="255"/>
        <v>5.5084745762711869</v>
      </c>
      <c r="AB219" s="105">
        <v>6.5</v>
      </c>
      <c r="AC219" s="105">
        <f t="shared" si="267"/>
        <v>0</v>
      </c>
      <c r="AD219" s="105">
        <v>0</v>
      </c>
      <c r="AE219" s="105">
        <f t="shared" si="256"/>
        <v>4.2372881355932206</v>
      </c>
      <c r="AF219" s="105">
        <v>5</v>
      </c>
      <c r="AG219" s="105">
        <f t="shared" si="268"/>
        <v>0</v>
      </c>
      <c r="AH219" s="106">
        <v>0</v>
      </c>
      <c r="AI219" s="105">
        <f t="shared" si="257"/>
        <v>9.3220338983050848</v>
      </c>
      <c r="AJ219" s="116">
        <v>11</v>
      </c>
      <c r="AK219" s="105">
        <f t="shared" si="269"/>
        <v>0</v>
      </c>
      <c r="AL219" s="106">
        <v>0</v>
      </c>
      <c r="AM219" s="105">
        <f t="shared" si="270"/>
        <v>12.711864406779661</v>
      </c>
      <c r="AN219" s="105">
        <v>15</v>
      </c>
      <c r="AO219" s="105">
        <f t="shared" si="271"/>
        <v>0</v>
      </c>
      <c r="AP219" s="105">
        <f t="shared" si="247"/>
        <v>145.42372881355934</v>
      </c>
      <c r="AQ219" s="105">
        <f t="shared" si="248"/>
        <v>171.6</v>
      </c>
      <c r="AR219" s="106">
        <v>0</v>
      </c>
      <c r="AS219" s="105" t="s">
        <v>312</v>
      </c>
      <c r="AT219" s="107">
        <v>0</v>
      </c>
      <c r="AU219" s="107">
        <f t="shared" si="272"/>
        <v>5.0847457627118651</v>
      </c>
      <c r="AV219" s="107">
        <v>6</v>
      </c>
      <c r="AW219" s="107">
        <f t="shared" si="273"/>
        <v>0</v>
      </c>
      <c r="AX219" s="107">
        <f t="shared" si="274"/>
        <v>0</v>
      </c>
      <c r="AY219" s="108">
        <f t="shared" si="246"/>
        <v>145.42372881355934</v>
      </c>
      <c r="AZ219" s="109">
        <f t="shared" si="246"/>
        <v>171.6</v>
      </c>
      <c r="BA219" s="9"/>
      <c r="BB219" s="9"/>
      <c r="BC219" s="9"/>
      <c r="BD219" s="9"/>
      <c r="BE219" s="45"/>
      <c r="BF219" s="45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</row>
    <row r="220" spans="1:93" s="4" customFormat="1" ht="183" outlineLevel="1" x14ac:dyDescent="0.25">
      <c r="A220" s="100">
        <f>A219+1</f>
        <v>178</v>
      </c>
      <c r="B220" s="101" t="s">
        <v>50</v>
      </c>
      <c r="C220" s="102" t="s">
        <v>51</v>
      </c>
      <c r="D220" s="103" t="s">
        <v>19</v>
      </c>
      <c r="E220" s="104">
        <f>F220+J220+N220+R220+V220+Z220+AD220+AH220+AL220</f>
        <v>378.6</v>
      </c>
      <c r="F220" s="105">
        <v>0</v>
      </c>
      <c r="G220" s="105">
        <f>H220/1.18</f>
        <v>16.949152542372882</v>
      </c>
      <c r="H220" s="105">
        <v>20</v>
      </c>
      <c r="I220" s="105">
        <f>H220*F220</f>
        <v>0</v>
      </c>
      <c r="J220" s="104">
        <v>378.6</v>
      </c>
      <c r="K220" s="105">
        <f>L220/1.18</f>
        <v>12.711864406779661</v>
      </c>
      <c r="L220" s="105">
        <v>15</v>
      </c>
      <c r="M220" s="105">
        <f>L220*J220</f>
        <v>5679</v>
      </c>
      <c r="N220" s="106">
        <v>0</v>
      </c>
      <c r="O220" s="105">
        <f>P220/1.18</f>
        <v>6.6101694915254239</v>
      </c>
      <c r="P220" s="105">
        <v>7.8</v>
      </c>
      <c r="Q220" s="105">
        <f>P220*N220</f>
        <v>0</v>
      </c>
      <c r="R220" s="104">
        <v>0</v>
      </c>
      <c r="S220" s="105">
        <f>T220/1.18</f>
        <v>13.220338983050848</v>
      </c>
      <c r="T220" s="105">
        <v>15.6</v>
      </c>
      <c r="U220" s="105">
        <f>T220*R220</f>
        <v>0</v>
      </c>
      <c r="V220" s="105">
        <v>0</v>
      </c>
      <c r="W220" s="105">
        <v>4.2</v>
      </c>
      <c r="X220" s="105">
        <v>7</v>
      </c>
      <c r="Y220" s="105">
        <f>X220*V220</f>
        <v>0</v>
      </c>
      <c r="Z220" s="104">
        <v>0</v>
      </c>
      <c r="AA220" s="105">
        <f>AB220/1.18</f>
        <v>5.5084745762711869</v>
      </c>
      <c r="AB220" s="105">
        <v>6.5</v>
      </c>
      <c r="AC220" s="105">
        <f>AB220*Z220</f>
        <v>0</v>
      </c>
      <c r="AD220" s="105">
        <v>0</v>
      </c>
      <c r="AE220" s="105">
        <f>AF220/1.18</f>
        <v>4.2372881355932206</v>
      </c>
      <c r="AF220" s="105">
        <v>5</v>
      </c>
      <c r="AG220" s="105">
        <f>AF220*AD220</f>
        <v>0</v>
      </c>
      <c r="AH220" s="106">
        <v>0</v>
      </c>
      <c r="AI220" s="105">
        <f>AJ220/1.18</f>
        <v>9.3220338983050848</v>
      </c>
      <c r="AJ220" s="116">
        <v>11</v>
      </c>
      <c r="AK220" s="105">
        <f>AJ220*AH220</f>
        <v>0</v>
      </c>
      <c r="AL220" s="106">
        <v>0</v>
      </c>
      <c r="AM220" s="105">
        <f>AN220/1.18</f>
        <v>12.711864406779661</v>
      </c>
      <c r="AN220" s="105">
        <v>15</v>
      </c>
      <c r="AO220" s="105">
        <f>AN220*AL220</f>
        <v>0</v>
      </c>
      <c r="AP220" s="105">
        <f>AQ220/1.18</f>
        <v>4812.7118644067796</v>
      </c>
      <c r="AQ220" s="105">
        <f>I220+M220+Q220+U220+Y220+AC220+AG220+AK220+AO220</f>
        <v>5679</v>
      </c>
      <c r="AR220" s="106">
        <v>0</v>
      </c>
      <c r="AS220" s="105" t="s">
        <v>312</v>
      </c>
      <c r="AT220" s="107">
        <v>0</v>
      </c>
      <c r="AU220" s="107">
        <f>AV220/1.18</f>
        <v>5.0847457627118651</v>
      </c>
      <c r="AV220" s="107">
        <v>6</v>
      </c>
      <c r="AW220" s="107">
        <f>AU220*AR220</f>
        <v>0</v>
      </c>
      <c r="AX220" s="107">
        <f>AV220*AR220</f>
        <v>0</v>
      </c>
      <c r="AY220" s="108">
        <f>AP220+AW220</f>
        <v>4812.7118644067796</v>
      </c>
      <c r="AZ220" s="109">
        <f>AQ220+AX220</f>
        <v>5679</v>
      </c>
      <c r="BA220" s="9"/>
      <c r="BB220" s="9"/>
      <c r="BC220" s="9"/>
      <c r="BD220" s="9"/>
      <c r="BE220" s="45"/>
      <c r="BF220" s="45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</row>
    <row r="221" spans="1:93" s="4" customFormat="1" ht="320.25" outlineLevel="1" x14ac:dyDescent="0.25">
      <c r="A221" s="100">
        <f>A220+1</f>
        <v>179</v>
      </c>
      <c r="B221" s="101" t="s">
        <v>296</v>
      </c>
      <c r="C221" s="102" t="s">
        <v>243</v>
      </c>
      <c r="D221" s="103" t="s">
        <v>19</v>
      </c>
      <c r="E221" s="104">
        <f t="shared" si="249"/>
        <v>889</v>
      </c>
      <c r="F221" s="105">
        <v>0</v>
      </c>
      <c r="G221" s="105">
        <f t="shared" si="252"/>
        <v>16.949152542372882</v>
      </c>
      <c r="H221" s="105">
        <v>20</v>
      </c>
      <c r="I221" s="105">
        <f t="shared" si="259"/>
        <v>0</v>
      </c>
      <c r="J221" s="104">
        <v>41.6</v>
      </c>
      <c r="K221" s="105">
        <f t="shared" si="253"/>
        <v>12.711864406779661</v>
      </c>
      <c r="L221" s="105">
        <v>15</v>
      </c>
      <c r="M221" s="105">
        <f t="shared" si="260"/>
        <v>624</v>
      </c>
      <c r="N221" s="106">
        <v>581</v>
      </c>
      <c r="O221" s="105">
        <f t="shared" si="261"/>
        <v>6.6101694915254239</v>
      </c>
      <c r="P221" s="105">
        <v>7.8</v>
      </c>
      <c r="Q221" s="105">
        <f t="shared" si="262"/>
        <v>4531.8</v>
      </c>
      <c r="R221" s="104">
        <v>0</v>
      </c>
      <c r="S221" s="105">
        <f t="shared" si="263"/>
        <v>13.220338983050848</v>
      </c>
      <c r="T221" s="105">
        <v>15.6</v>
      </c>
      <c r="U221" s="105">
        <f t="shared" si="264"/>
        <v>0</v>
      </c>
      <c r="V221" s="105">
        <v>83.3</v>
      </c>
      <c r="W221" s="105">
        <f t="shared" ref="W221:W223" si="276">X221/1.18</f>
        <v>5.9322033898305087</v>
      </c>
      <c r="X221" s="105">
        <v>7</v>
      </c>
      <c r="Y221" s="105">
        <f t="shared" si="266"/>
        <v>583.1</v>
      </c>
      <c r="Z221" s="104">
        <v>154.30000000000001</v>
      </c>
      <c r="AA221" s="105">
        <f t="shared" si="255"/>
        <v>5.5084745762711869</v>
      </c>
      <c r="AB221" s="105">
        <v>6.5</v>
      </c>
      <c r="AC221" s="105">
        <f t="shared" si="267"/>
        <v>1002.95</v>
      </c>
      <c r="AD221" s="105">
        <v>0</v>
      </c>
      <c r="AE221" s="105">
        <f t="shared" si="256"/>
        <v>4.2372881355932206</v>
      </c>
      <c r="AF221" s="105">
        <v>5</v>
      </c>
      <c r="AG221" s="105">
        <f t="shared" si="268"/>
        <v>0</v>
      </c>
      <c r="AH221" s="106">
        <v>27.3</v>
      </c>
      <c r="AI221" s="105">
        <f t="shared" si="257"/>
        <v>9.3220338983050848</v>
      </c>
      <c r="AJ221" s="116">
        <v>11</v>
      </c>
      <c r="AK221" s="105">
        <f t="shared" si="269"/>
        <v>300.3</v>
      </c>
      <c r="AL221" s="106">
        <v>1.5</v>
      </c>
      <c r="AM221" s="105">
        <f t="shared" si="270"/>
        <v>12.711864406779661</v>
      </c>
      <c r="AN221" s="105">
        <v>15</v>
      </c>
      <c r="AO221" s="105">
        <f t="shared" si="271"/>
        <v>22.5</v>
      </c>
      <c r="AP221" s="105">
        <f t="shared" si="247"/>
        <v>5986.9915254237294</v>
      </c>
      <c r="AQ221" s="105">
        <f t="shared" si="248"/>
        <v>7064.6500000000005</v>
      </c>
      <c r="AR221" s="106">
        <v>0</v>
      </c>
      <c r="AS221" s="105" t="s">
        <v>312</v>
      </c>
      <c r="AT221" s="107">
        <v>0</v>
      </c>
      <c r="AU221" s="107">
        <f t="shared" si="272"/>
        <v>5.0847457627118651</v>
      </c>
      <c r="AV221" s="107">
        <v>6</v>
      </c>
      <c r="AW221" s="107">
        <f t="shared" si="273"/>
        <v>0</v>
      </c>
      <c r="AX221" s="107">
        <f t="shared" ref="AX221:AX254" si="277">AV221*AR221</f>
        <v>0</v>
      </c>
      <c r="AY221" s="108">
        <f t="shared" si="246"/>
        <v>5986.9915254237294</v>
      </c>
      <c r="AZ221" s="109">
        <f t="shared" si="246"/>
        <v>7064.6500000000005</v>
      </c>
      <c r="BA221" s="9"/>
      <c r="BB221" s="9"/>
      <c r="BC221" s="9"/>
      <c r="BD221" s="9"/>
      <c r="BE221" s="45"/>
      <c r="BF221" s="45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</row>
    <row r="222" spans="1:93" s="4" customFormat="1" ht="228.75" outlineLevel="1" x14ac:dyDescent="0.25">
      <c r="A222" s="100">
        <f>A221+1</f>
        <v>180</v>
      </c>
      <c r="B222" s="101" t="s">
        <v>296</v>
      </c>
      <c r="C222" s="102" t="s">
        <v>244</v>
      </c>
      <c r="D222" s="103" t="s">
        <v>19</v>
      </c>
      <c r="E222" s="104">
        <f t="shared" si="249"/>
        <v>1064.5000000000002</v>
      </c>
      <c r="F222" s="105">
        <v>0</v>
      </c>
      <c r="G222" s="105">
        <f t="shared" si="252"/>
        <v>16.949152542372882</v>
      </c>
      <c r="H222" s="105">
        <v>20</v>
      </c>
      <c r="I222" s="105">
        <f t="shared" si="259"/>
        <v>0</v>
      </c>
      <c r="J222" s="104">
        <v>72.7</v>
      </c>
      <c r="K222" s="105">
        <f t="shared" si="253"/>
        <v>12.711864406779661</v>
      </c>
      <c r="L222" s="105">
        <v>15</v>
      </c>
      <c r="M222" s="105">
        <f t="shared" si="260"/>
        <v>1090.5</v>
      </c>
      <c r="N222" s="106">
        <f>686</f>
        <v>686</v>
      </c>
      <c r="O222" s="105">
        <f t="shared" si="261"/>
        <v>6.6101694915254239</v>
      </c>
      <c r="P222" s="105">
        <v>7.8</v>
      </c>
      <c r="Q222" s="105">
        <f t="shared" si="262"/>
        <v>5350.8</v>
      </c>
      <c r="R222" s="104">
        <v>0</v>
      </c>
      <c r="S222" s="105">
        <f t="shared" si="263"/>
        <v>13.220338983050848</v>
      </c>
      <c r="T222" s="105">
        <v>15.6</v>
      </c>
      <c r="U222" s="105">
        <f t="shared" si="264"/>
        <v>0</v>
      </c>
      <c r="V222" s="105">
        <v>60</v>
      </c>
      <c r="W222" s="105">
        <f t="shared" si="276"/>
        <v>5.9322033898305087</v>
      </c>
      <c r="X222" s="105">
        <v>7</v>
      </c>
      <c r="Y222" s="105">
        <f t="shared" si="266"/>
        <v>420</v>
      </c>
      <c r="Z222" s="104">
        <v>164</v>
      </c>
      <c r="AA222" s="105">
        <f t="shared" si="255"/>
        <v>5.5084745762711869</v>
      </c>
      <c r="AB222" s="105">
        <v>6.5</v>
      </c>
      <c r="AC222" s="105">
        <f t="shared" si="267"/>
        <v>1066</v>
      </c>
      <c r="AD222" s="105">
        <v>0</v>
      </c>
      <c r="AE222" s="105">
        <f t="shared" si="256"/>
        <v>4.2372881355932206</v>
      </c>
      <c r="AF222" s="105">
        <v>5</v>
      </c>
      <c r="AG222" s="105">
        <f t="shared" si="268"/>
        <v>0</v>
      </c>
      <c r="AH222" s="106">
        <f>44+14.4</f>
        <v>58.4</v>
      </c>
      <c r="AI222" s="105">
        <f t="shared" si="257"/>
        <v>9.3220338983050848</v>
      </c>
      <c r="AJ222" s="116">
        <v>11</v>
      </c>
      <c r="AK222" s="105">
        <f t="shared" si="269"/>
        <v>642.4</v>
      </c>
      <c r="AL222" s="106">
        <f>13.8+6.8+2.8</f>
        <v>23.400000000000002</v>
      </c>
      <c r="AM222" s="105">
        <f t="shared" si="270"/>
        <v>12.711864406779661</v>
      </c>
      <c r="AN222" s="105">
        <v>15</v>
      </c>
      <c r="AO222" s="105">
        <f t="shared" si="271"/>
        <v>351.00000000000006</v>
      </c>
      <c r="AP222" s="105">
        <f t="shared" si="247"/>
        <v>7559.9152542372894</v>
      </c>
      <c r="AQ222" s="105">
        <f t="shared" si="248"/>
        <v>8920.7000000000007</v>
      </c>
      <c r="AR222" s="106">
        <v>0</v>
      </c>
      <c r="AS222" s="105" t="s">
        <v>312</v>
      </c>
      <c r="AT222" s="107">
        <v>0</v>
      </c>
      <c r="AU222" s="107">
        <f t="shared" si="272"/>
        <v>5.0847457627118651</v>
      </c>
      <c r="AV222" s="107">
        <v>6</v>
      </c>
      <c r="AW222" s="107">
        <f t="shared" si="273"/>
        <v>0</v>
      </c>
      <c r="AX222" s="107">
        <f t="shared" si="277"/>
        <v>0</v>
      </c>
      <c r="AY222" s="108">
        <f t="shared" si="246"/>
        <v>7559.9152542372894</v>
      </c>
      <c r="AZ222" s="109">
        <f t="shared" si="246"/>
        <v>8920.7000000000007</v>
      </c>
      <c r="BA222" s="9"/>
      <c r="BB222" s="9"/>
      <c r="BC222" s="9"/>
      <c r="BD222" s="9"/>
      <c r="BE222" s="45"/>
      <c r="BF222" s="45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</row>
    <row r="223" spans="1:93" s="4" customFormat="1" ht="274.5" outlineLevel="1" x14ac:dyDescent="0.25">
      <c r="A223" s="100">
        <f t="shared" ref="A223:A230" si="278">A222+1</f>
        <v>181</v>
      </c>
      <c r="B223" s="101" t="s">
        <v>296</v>
      </c>
      <c r="C223" s="102" t="s">
        <v>245</v>
      </c>
      <c r="D223" s="103" t="s">
        <v>19</v>
      </c>
      <c r="E223" s="104">
        <f t="shared" si="249"/>
        <v>1212.5999999999999</v>
      </c>
      <c r="F223" s="105">
        <v>0</v>
      </c>
      <c r="G223" s="105">
        <f t="shared" si="252"/>
        <v>16.949152542372882</v>
      </c>
      <c r="H223" s="105">
        <v>20</v>
      </c>
      <c r="I223" s="105">
        <f t="shared" si="259"/>
        <v>0</v>
      </c>
      <c r="J223" s="104">
        <f>50.8+90</f>
        <v>140.80000000000001</v>
      </c>
      <c r="K223" s="105">
        <f t="shared" si="253"/>
        <v>12.711864406779661</v>
      </c>
      <c r="L223" s="105">
        <v>15</v>
      </c>
      <c r="M223" s="105">
        <f t="shared" si="260"/>
        <v>2112</v>
      </c>
      <c r="N223" s="106">
        <f>388+38.5+430+12</f>
        <v>868.5</v>
      </c>
      <c r="O223" s="105">
        <f t="shared" si="261"/>
        <v>6.6101694915254239</v>
      </c>
      <c r="P223" s="105">
        <v>7.8</v>
      </c>
      <c r="Q223" s="105">
        <f t="shared" si="262"/>
        <v>6774.3</v>
      </c>
      <c r="R223" s="104">
        <v>0</v>
      </c>
      <c r="S223" s="105">
        <f t="shared" si="263"/>
        <v>13.220338983050848</v>
      </c>
      <c r="T223" s="105">
        <v>15.6</v>
      </c>
      <c r="U223" s="105">
        <f t="shared" si="264"/>
        <v>0</v>
      </c>
      <c r="V223" s="105">
        <f>10+30</f>
        <v>40</v>
      </c>
      <c r="W223" s="105">
        <f t="shared" si="276"/>
        <v>5.9322033898305087</v>
      </c>
      <c r="X223" s="105">
        <v>7</v>
      </c>
      <c r="Y223" s="105">
        <f t="shared" si="266"/>
        <v>280</v>
      </c>
      <c r="Z223" s="104">
        <f>28+10.8+63+3.5+50</f>
        <v>155.30000000000001</v>
      </c>
      <c r="AA223" s="105">
        <f t="shared" si="255"/>
        <v>5.5084745762711869</v>
      </c>
      <c r="AB223" s="105">
        <v>6.5</v>
      </c>
      <c r="AC223" s="105">
        <f t="shared" si="267"/>
        <v>1009.45</v>
      </c>
      <c r="AD223" s="105">
        <v>0</v>
      </c>
      <c r="AE223" s="105">
        <f t="shared" si="256"/>
        <v>4.2372881355932206</v>
      </c>
      <c r="AF223" s="105">
        <v>5</v>
      </c>
      <c r="AG223" s="105">
        <f t="shared" si="268"/>
        <v>0</v>
      </c>
      <c r="AH223" s="106">
        <v>0</v>
      </c>
      <c r="AI223" s="105">
        <f t="shared" si="257"/>
        <v>9.3220338983050848</v>
      </c>
      <c r="AJ223" s="116">
        <v>11</v>
      </c>
      <c r="AK223" s="105">
        <f t="shared" si="269"/>
        <v>0</v>
      </c>
      <c r="AL223" s="106">
        <v>8</v>
      </c>
      <c r="AM223" s="105">
        <f t="shared" si="270"/>
        <v>12.711864406779661</v>
      </c>
      <c r="AN223" s="105">
        <v>15</v>
      </c>
      <c r="AO223" s="105">
        <f t="shared" si="271"/>
        <v>120</v>
      </c>
      <c r="AP223" s="105">
        <f t="shared" si="247"/>
        <v>8725.2118644067796</v>
      </c>
      <c r="AQ223" s="105">
        <f t="shared" si="248"/>
        <v>10295.75</v>
      </c>
      <c r="AR223" s="106">
        <v>0</v>
      </c>
      <c r="AS223" s="105" t="s">
        <v>312</v>
      </c>
      <c r="AT223" s="107">
        <v>0</v>
      </c>
      <c r="AU223" s="107">
        <f t="shared" si="272"/>
        <v>5.0847457627118651</v>
      </c>
      <c r="AV223" s="107">
        <v>6</v>
      </c>
      <c r="AW223" s="107">
        <f t="shared" si="273"/>
        <v>0</v>
      </c>
      <c r="AX223" s="107">
        <f t="shared" si="277"/>
        <v>0</v>
      </c>
      <c r="AY223" s="108">
        <f t="shared" si="246"/>
        <v>8725.2118644067796</v>
      </c>
      <c r="AZ223" s="109">
        <f t="shared" si="246"/>
        <v>10295.75</v>
      </c>
      <c r="BA223" s="9"/>
      <c r="BB223" s="9"/>
      <c r="BC223" s="9"/>
      <c r="BD223" s="9"/>
      <c r="BE223" s="45"/>
      <c r="BF223" s="45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</row>
    <row r="224" spans="1:93" s="4" customFormat="1" ht="274.5" outlineLevel="1" x14ac:dyDescent="0.25">
      <c r="A224" s="100">
        <f t="shared" si="278"/>
        <v>182</v>
      </c>
      <c r="B224" s="101" t="s">
        <v>296</v>
      </c>
      <c r="C224" s="102" t="s">
        <v>246</v>
      </c>
      <c r="D224" s="103" t="s">
        <v>19</v>
      </c>
      <c r="E224" s="104">
        <f t="shared" si="249"/>
        <v>622.09999999999991</v>
      </c>
      <c r="F224" s="105">
        <v>0</v>
      </c>
      <c r="G224" s="105">
        <f t="shared" si="252"/>
        <v>16.949152542372882</v>
      </c>
      <c r="H224" s="105">
        <v>20</v>
      </c>
      <c r="I224" s="105">
        <f t="shared" si="259"/>
        <v>0</v>
      </c>
      <c r="J224" s="104">
        <v>41.2</v>
      </c>
      <c r="K224" s="105">
        <f t="shared" si="253"/>
        <v>12.711864406779661</v>
      </c>
      <c r="L224" s="105">
        <v>15</v>
      </c>
      <c r="M224" s="105">
        <f t="shared" si="260"/>
        <v>618</v>
      </c>
      <c r="N224" s="106">
        <v>407.2</v>
      </c>
      <c r="O224" s="105">
        <f t="shared" si="261"/>
        <v>6.6101694915254239</v>
      </c>
      <c r="P224" s="105">
        <v>7.8</v>
      </c>
      <c r="Q224" s="105">
        <f t="shared" si="262"/>
        <v>3176.16</v>
      </c>
      <c r="R224" s="104">
        <v>0</v>
      </c>
      <c r="S224" s="105">
        <f t="shared" si="263"/>
        <v>13.220338983050848</v>
      </c>
      <c r="T224" s="105">
        <v>15.6</v>
      </c>
      <c r="U224" s="105">
        <f t="shared" si="264"/>
        <v>0</v>
      </c>
      <c r="V224" s="105">
        <v>33.9</v>
      </c>
      <c r="W224" s="105">
        <v>4.2</v>
      </c>
      <c r="X224" s="105">
        <v>7</v>
      </c>
      <c r="Y224" s="105">
        <f t="shared" si="266"/>
        <v>237.29999999999998</v>
      </c>
      <c r="Z224" s="104">
        <v>125.1</v>
      </c>
      <c r="AA224" s="105">
        <f t="shared" si="255"/>
        <v>5.5084745762711869</v>
      </c>
      <c r="AB224" s="105">
        <v>6.5</v>
      </c>
      <c r="AC224" s="105">
        <f t="shared" si="267"/>
        <v>813.15</v>
      </c>
      <c r="AD224" s="105">
        <v>0</v>
      </c>
      <c r="AE224" s="105">
        <f t="shared" si="256"/>
        <v>4.2372881355932206</v>
      </c>
      <c r="AF224" s="105">
        <v>5</v>
      </c>
      <c r="AG224" s="105">
        <f t="shared" si="268"/>
        <v>0</v>
      </c>
      <c r="AH224" s="106">
        <v>11.3</v>
      </c>
      <c r="AI224" s="105">
        <f t="shared" si="257"/>
        <v>9.3220338983050848</v>
      </c>
      <c r="AJ224" s="116">
        <v>11</v>
      </c>
      <c r="AK224" s="105">
        <f t="shared" si="269"/>
        <v>124.30000000000001</v>
      </c>
      <c r="AL224" s="106">
        <v>3.4</v>
      </c>
      <c r="AM224" s="105">
        <f t="shared" si="270"/>
        <v>12.711864406779661</v>
      </c>
      <c r="AN224" s="105">
        <v>15</v>
      </c>
      <c r="AO224" s="105">
        <f t="shared" si="271"/>
        <v>51</v>
      </c>
      <c r="AP224" s="105">
        <f t="shared" si="247"/>
        <v>4254.1610169491523</v>
      </c>
      <c r="AQ224" s="105">
        <f t="shared" si="248"/>
        <v>5019.91</v>
      </c>
      <c r="AR224" s="106">
        <v>0</v>
      </c>
      <c r="AS224" s="105" t="s">
        <v>312</v>
      </c>
      <c r="AT224" s="107">
        <v>0</v>
      </c>
      <c r="AU224" s="107">
        <f t="shared" si="272"/>
        <v>5.0847457627118651</v>
      </c>
      <c r="AV224" s="107">
        <v>6</v>
      </c>
      <c r="AW224" s="107">
        <f t="shared" si="273"/>
        <v>0</v>
      </c>
      <c r="AX224" s="107">
        <f t="shared" si="277"/>
        <v>0</v>
      </c>
      <c r="AY224" s="108">
        <f t="shared" si="246"/>
        <v>4254.1610169491523</v>
      </c>
      <c r="AZ224" s="109">
        <f t="shared" si="246"/>
        <v>5019.91</v>
      </c>
      <c r="BA224" s="9"/>
      <c r="BB224" s="9"/>
      <c r="BC224" s="9"/>
      <c r="BD224" s="9"/>
      <c r="BE224" s="45"/>
      <c r="BF224" s="45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</row>
    <row r="225" spans="1:93" s="4" customFormat="1" ht="274.5" outlineLevel="1" x14ac:dyDescent="0.25">
      <c r="A225" s="100">
        <f t="shared" si="278"/>
        <v>183</v>
      </c>
      <c r="B225" s="101" t="s">
        <v>296</v>
      </c>
      <c r="C225" s="102" t="s">
        <v>295</v>
      </c>
      <c r="D225" s="103" t="s">
        <v>19</v>
      </c>
      <c r="E225" s="104">
        <f t="shared" si="249"/>
        <v>643.9</v>
      </c>
      <c r="F225" s="105">
        <v>0</v>
      </c>
      <c r="G225" s="105">
        <f t="shared" si="252"/>
        <v>16.949152542372882</v>
      </c>
      <c r="H225" s="105">
        <v>20</v>
      </c>
      <c r="I225" s="105">
        <f t="shared" si="259"/>
        <v>0</v>
      </c>
      <c r="J225" s="104">
        <v>17.600000000000001</v>
      </c>
      <c r="K225" s="105">
        <f t="shared" si="253"/>
        <v>12.711864406779661</v>
      </c>
      <c r="L225" s="105">
        <v>15</v>
      </c>
      <c r="M225" s="105">
        <f t="shared" si="260"/>
        <v>264</v>
      </c>
      <c r="N225" s="106">
        <f>512.3-97.6</f>
        <v>414.69999999999993</v>
      </c>
      <c r="O225" s="105">
        <f t="shared" si="261"/>
        <v>6.6101694915254239</v>
      </c>
      <c r="P225" s="105">
        <v>7.8</v>
      </c>
      <c r="Q225" s="105">
        <f t="shared" si="262"/>
        <v>3234.6599999999994</v>
      </c>
      <c r="R225" s="104">
        <v>0</v>
      </c>
      <c r="S225" s="105">
        <f t="shared" si="263"/>
        <v>13.220338983050848</v>
      </c>
      <c r="T225" s="105">
        <v>15.6</v>
      </c>
      <c r="U225" s="105">
        <f t="shared" si="264"/>
        <v>0</v>
      </c>
      <c r="V225" s="105">
        <v>53.2</v>
      </c>
      <c r="W225" s="105">
        <f t="shared" ref="W225:W227" si="279">X225/1.18</f>
        <v>5.9322033898305087</v>
      </c>
      <c r="X225" s="105">
        <v>7</v>
      </c>
      <c r="Y225" s="105">
        <f t="shared" si="266"/>
        <v>372.40000000000003</v>
      </c>
      <c r="Z225" s="104">
        <v>152.19999999999999</v>
      </c>
      <c r="AA225" s="105">
        <f t="shared" si="255"/>
        <v>5.5084745762711869</v>
      </c>
      <c r="AB225" s="105">
        <v>6.5</v>
      </c>
      <c r="AC225" s="105">
        <f t="shared" si="267"/>
        <v>989.3</v>
      </c>
      <c r="AD225" s="105">
        <v>0</v>
      </c>
      <c r="AE225" s="105">
        <f t="shared" si="256"/>
        <v>4.2372881355932206</v>
      </c>
      <c r="AF225" s="105">
        <v>5</v>
      </c>
      <c r="AG225" s="105">
        <f t="shared" si="268"/>
        <v>0</v>
      </c>
      <c r="AH225" s="106">
        <v>0</v>
      </c>
      <c r="AI225" s="105">
        <f t="shared" si="257"/>
        <v>9.3220338983050848</v>
      </c>
      <c r="AJ225" s="116">
        <v>11</v>
      </c>
      <c r="AK225" s="105">
        <f t="shared" si="269"/>
        <v>0</v>
      </c>
      <c r="AL225" s="106">
        <v>6.2</v>
      </c>
      <c r="AM225" s="105">
        <f t="shared" si="270"/>
        <v>12.711864406779661</v>
      </c>
      <c r="AN225" s="105">
        <v>15</v>
      </c>
      <c r="AO225" s="105">
        <f t="shared" si="271"/>
        <v>93</v>
      </c>
      <c r="AP225" s="105">
        <f t="shared" si="247"/>
        <v>4197.7627118644068</v>
      </c>
      <c r="AQ225" s="105">
        <f t="shared" si="248"/>
        <v>4953.3599999999997</v>
      </c>
      <c r="AR225" s="106">
        <v>0</v>
      </c>
      <c r="AS225" s="105" t="s">
        <v>312</v>
      </c>
      <c r="AT225" s="107">
        <v>0</v>
      </c>
      <c r="AU225" s="107">
        <f t="shared" si="272"/>
        <v>5.0847457627118651</v>
      </c>
      <c r="AV225" s="107">
        <v>6</v>
      </c>
      <c r="AW225" s="107">
        <f t="shared" si="273"/>
        <v>0</v>
      </c>
      <c r="AX225" s="107">
        <f t="shared" si="277"/>
        <v>0</v>
      </c>
      <c r="AY225" s="108">
        <f t="shared" si="246"/>
        <v>4197.7627118644068</v>
      </c>
      <c r="AZ225" s="109">
        <f t="shared" si="246"/>
        <v>4953.3599999999997</v>
      </c>
      <c r="BA225" s="9"/>
      <c r="BB225" s="9"/>
      <c r="BC225" s="9"/>
      <c r="BD225" s="9"/>
      <c r="BE225" s="45"/>
      <c r="BF225" s="45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</row>
    <row r="226" spans="1:93" s="4" customFormat="1" ht="320.25" outlineLevel="1" x14ac:dyDescent="0.25">
      <c r="A226" s="100">
        <f t="shared" si="278"/>
        <v>184</v>
      </c>
      <c r="B226" s="101" t="s">
        <v>296</v>
      </c>
      <c r="C226" s="102" t="s">
        <v>247</v>
      </c>
      <c r="D226" s="103" t="s">
        <v>19</v>
      </c>
      <c r="E226" s="104">
        <f t="shared" si="249"/>
        <v>860.7</v>
      </c>
      <c r="F226" s="105">
        <v>0</v>
      </c>
      <c r="G226" s="105">
        <f t="shared" si="252"/>
        <v>16.949152542372882</v>
      </c>
      <c r="H226" s="105">
        <v>20</v>
      </c>
      <c r="I226" s="105">
        <f t="shared" si="259"/>
        <v>0</v>
      </c>
      <c r="J226" s="104">
        <v>23.9</v>
      </c>
      <c r="K226" s="105">
        <f t="shared" si="253"/>
        <v>12.711864406779661</v>
      </c>
      <c r="L226" s="105">
        <v>15</v>
      </c>
      <c r="M226" s="105">
        <f t="shared" si="260"/>
        <v>358.5</v>
      </c>
      <c r="N226" s="106">
        <f>570-11.6</f>
        <v>558.4</v>
      </c>
      <c r="O226" s="105">
        <f t="shared" si="261"/>
        <v>6.6101694915254239</v>
      </c>
      <c r="P226" s="105">
        <v>7.8</v>
      </c>
      <c r="Q226" s="105">
        <f t="shared" si="262"/>
        <v>4355.5199999999995</v>
      </c>
      <c r="R226" s="104">
        <v>0</v>
      </c>
      <c r="S226" s="105">
        <f t="shared" si="263"/>
        <v>13.220338983050848</v>
      </c>
      <c r="T226" s="105">
        <v>15.6</v>
      </c>
      <c r="U226" s="105">
        <f t="shared" si="264"/>
        <v>0</v>
      </c>
      <c r="V226" s="105">
        <f>74+13.7</f>
        <v>87.7</v>
      </c>
      <c r="W226" s="105">
        <f t="shared" si="279"/>
        <v>5.9322033898305087</v>
      </c>
      <c r="X226" s="105">
        <v>7</v>
      </c>
      <c r="Y226" s="105">
        <f t="shared" si="266"/>
        <v>613.9</v>
      </c>
      <c r="Z226" s="104">
        <v>128.19999999999999</v>
      </c>
      <c r="AA226" s="105">
        <f t="shared" si="255"/>
        <v>5.5084745762711869</v>
      </c>
      <c r="AB226" s="105">
        <v>6.5</v>
      </c>
      <c r="AC226" s="105">
        <f t="shared" si="267"/>
        <v>833.3</v>
      </c>
      <c r="AD226" s="105">
        <v>0</v>
      </c>
      <c r="AE226" s="105">
        <f t="shared" si="256"/>
        <v>4.2372881355932206</v>
      </c>
      <c r="AF226" s="105">
        <v>5</v>
      </c>
      <c r="AG226" s="105">
        <f t="shared" si="268"/>
        <v>0</v>
      </c>
      <c r="AH226" s="106">
        <v>58.2</v>
      </c>
      <c r="AI226" s="105">
        <f t="shared" si="257"/>
        <v>9.3220338983050848</v>
      </c>
      <c r="AJ226" s="116">
        <v>11</v>
      </c>
      <c r="AK226" s="105">
        <f t="shared" si="269"/>
        <v>640.20000000000005</v>
      </c>
      <c r="AL226" s="106">
        <v>4.3</v>
      </c>
      <c r="AM226" s="105">
        <f t="shared" si="270"/>
        <v>12.711864406779661</v>
      </c>
      <c r="AN226" s="105">
        <v>15</v>
      </c>
      <c r="AO226" s="105">
        <f t="shared" si="271"/>
        <v>64.5</v>
      </c>
      <c r="AP226" s="105">
        <f t="shared" si="247"/>
        <v>5818.57627118644</v>
      </c>
      <c r="AQ226" s="105">
        <f t="shared" si="248"/>
        <v>6865.9199999999992</v>
      </c>
      <c r="AR226" s="106">
        <v>0</v>
      </c>
      <c r="AS226" s="105" t="s">
        <v>312</v>
      </c>
      <c r="AT226" s="107">
        <v>0</v>
      </c>
      <c r="AU226" s="107">
        <f t="shared" si="272"/>
        <v>5.0847457627118651</v>
      </c>
      <c r="AV226" s="107">
        <v>6</v>
      </c>
      <c r="AW226" s="107">
        <f t="shared" si="273"/>
        <v>0</v>
      </c>
      <c r="AX226" s="107">
        <f t="shared" si="277"/>
        <v>0</v>
      </c>
      <c r="AY226" s="108">
        <f t="shared" si="246"/>
        <v>5818.57627118644</v>
      </c>
      <c r="AZ226" s="109">
        <f t="shared" si="246"/>
        <v>6865.9199999999992</v>
      </c>
      <c r="BA226" s="9"/>
      <c r="BB226" s="9"/>
      <c r="BC226" s="9"/>
      <c r="BD226" s="9"/>
      <c r="BE226" s="45"/>
      <c r="BF226" s="45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</row>
    <row r="227" spans="1:93" s="4" customFormat="1" ht="274.5" outlineLevel="1" x14ac:dyDescent="0.25">
      <c r="A227" s="100">
        <f t="shared" si="278"/>
        <v>185</v>
      </c>
      <c r="B227" s="101" t="s">
        <v>296</v>
      </c>
      <c r="C227" s="102" t="s">
        <v>248</v>
      </c>
      <c r="D227" s="103" t="s">
        <v>19</v>
      </c>
      <c r="E227" s="104">
        <f t="shared" si="249"/>
        <v>817.99</v>
      </c>
      <c r="F227" s="105">
        <v>0</v>
      </c>
      <c r="G227" s="105">
        <f t="shared" si="252"/>
        <v>16.949152542372882</v>
      </c>
      <c r="H227" s="105">
        <v>20</v>
      </c>
      <c r="I227" s="105">
        <f t="shared" si="259"/>
        <v>0</v>
      </c>
      <c r="J227" s="104">
        <f>20.58+56.5</f>
        <v>77.08</v>
      </c>
      <c r="K227" s="105">
        <f t="shared" si="253"/>
        <v>12.711864406779661</v>
      </c>
      <c r="L227" s="105">
        <v>15</v>
      </c>
      <c r="M227" s="105">
        <f t="shared" si="260"/>
        <v>1156.2</v>
      </c>
      <c r="N227" s="106">
        <f>566.8-11.6</f>
        <v>555.19999999999993</v>
      </c>
      <c r="O227" s="105">
        <f t="shared" si="261"/>
        <v>6.6101694915254239</v>
      </c>
      <c r="P227" s="105">
        <v>7.8</v>
      </c>
      <c r="Q227" s="105">
        <f t="shared" si="262"/>
        <v>4330.5599999999995</v>
      </c>
      <c r="R227" s="104">
        <v>0</v>
      </c>
      <c r="S227" s="105">
        <f t="shared" si="263"/>
        <v>13.220338983050848</v>
      </c>
      <c r="T227" s="105">
        <v>15.6</v>
      </c>
      <c r="U227" s="105">
        <f t="shared" si="264"/>
        <v>0</v>
      </c>
      <c r="V227" s="105">
        <v>53.9</v>
      </c>
      <c r="W227" s="105">
        <f t="shared" si="279"/>
        <v>5.9322033898305087</v>
      </c>
      <c r="X227" s="105">
        <v>7</v>
      </c>
      <c r="Y227" s="105">
        <f t="shared" si="266"/>
        <v>377.3</v>
      </c>
      <c r="Z227" s="104">
        <v>118.11</v>
      </c>
      <c r="AA227" s="105">
        <f t="shared" si="255"/>
        <v>5.5084745762711869</v>
      </c>
      <c r="AB227" s="105">
        <v>6.5</v>
      </c>
      <c r="AC227" s="105">
        <f t="shared" si="267"/>
        <v>767.71500000000003</v>
      </c>
      <c r="AD227" s="105">
        <v>0</v>
      </c>
      <c r="AE227" s="105">
        <f t="shared" si="256"/>
        <v>4.2372881355932206</v>
      </c>
      <c r="AF227" s="105">
        <v>5</v>
      </c>
      <c r="AG227" s="105">
        <f t="shared" si="268"/>
        <v>0</v>
      </c>
      <c r="AH227" s="106">
        <v>0</v>
      </c>
      <c r="AI227" s="105">
        <f t="shared" si="257"/>
        <v>9.3220338983050848</v>
      </c>
      <c r="AJ227" s="116">
        <v>11</v>
      </c>
      <c r="AK227" s="105">
        <f t="shared" si="269"/>
        <v>0</v>
      </c>
      <c r="AL227" s="106">
        <v>13.7</v>
      </c>
      <c r="AM227" s="105">
        <f t="shared" si="270"/>
        <v>12.711864406779661</v>
      </c>
      <c r="AN227" s="105">
        <v>15</v>
      </c>
      <c r="AO227" s="105">
        <f t="shared" si="271"/>
        <v>205.5</v>
      </c>
      <c r="AP227" s="105">
        <f t="shared" si="247"/>
        <v>5794.3008474576272</v>
      </c>
      <c r="AQ227" s="105">
        <f t="shared" si="248"/>
        <v>6837.2749999999996</v>
      </c>
      <c r="AR227" s="106">
        <v>0</v>
      </c>
      <c r="AS227" s="105" t="s">
        <v>312</v>
      </c>
      <c r="AT227" s="107">
        <v>0</v>
      </c>
      <c r="AU227" s="107">
        <f t="shared" si="272"/>
        <v>5.0847457627118651</v>
      </c>
      <c r="AV227" s="107">
        <v>6</v>
      </c>
      <c r="AW227" s="107">
        <f t="shared" si="273"/>
        <v>0</v>
      </c>
      <c r="AX227" s="107">
        <f t="shared" si="277"/>
        <v>0</v>
      </c>
      <c r="AY227" s="108">
        <f t="shared" si="246"/>
        <v>5794.3008474576272</v>
      </c>
      <c r="AZ227" s="109">
        <f t="shared" si="246"/>
        <v>6837.2749999999996</v>
      </c>
      <c r="BA227" s="9"/>
      <c r="BB227" s="9"/>
      <c r="BC227" s="9"/>
      <c r="BD227" s="9"/>
      <c r="BE227" s="45"/>
      <c r="BF227" s="45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</row>
    <row r="228" spans="1:93" s="4" customFormat="1" ht="274.5" outlineLevel="1" x14ac:dyDescent="0.25">
      <c r="A228" s="100">
        <f t="shared" si="278"/>
        <v>186</v>
      </c>
      <c r="B228" s="101" t="s">
        <v>296</v>
      </c>
      <c r="C228" s="102" t="s">
        <v>249</v>
      </c>
      <c r="D228" s="103" t="s">
        <v>19</v>
      </c>
      <c r="E228" s="104">
        <f t="shared" si="249"/>
        <v>655.8</v>
      </c>
      <c r="F228" s="105">
        <v>0</v>
      </c>
      <c r="G228" s="105">
        <f t="shared" si="252"/>
        <v>16.949152542372882</v>
      </c>
      <c r="H228" s="105">
        <v>20</v>
      </c>
      <c r="I228" s="105">
        <f t="shared" si="259"/>
        <v>0</v>
      </c>
      <c r="J228" s="104">
        <f>40.3</f>
        <v>40.299999999999997</v>
      </c>
      <c r="K228" s="105">
        <f t="shared" si="253"/>
        <v>12.711864406779661</v>
      </c>
      <c r="L228" s="105">
        <v>15</v>
      </c>
      <c r="M228" s="105">
        <f t="shared" si="260"/>
        <v>604.5</v>
      </c>
      <c r="N228" s="106">
        <f>41.1+172.1+28.6+55.8+85.1</f>
        <v>382.69999999999993</v>
      </c>
      <c r="O228" s="105">
        <f t="shared" si="261"/>
        <v>6.6101694915254239</v>
      </c>
      <c r="P228" s="105">
        <v>7.8</v>
      </c>
      <c r="Q228" s="105">
        <f t="shared" si="262"/>
        <v>2985.0599999999995</v>
      </c>
      <c r="R228" s="104">
        <v>0</v>
      </c>
      <c r="S228" s="105">
        <f t="shared" si="263"/>
        <v>13.220338983050848</v>
      </c>
      <c r="T228" s="105">
        <v>15.6</v>
      </c>
      <c r="U228" s="105">
        <f t="shared" si="264"/>
        <v>0</v>
      </c>
      <c r="V228" s="105">
        <f>8.5+32.5+35.8+5</f>
        <v>81.8</v>
      </c>
      <c r="W228" s="105">
        <v>4.2</v>
      </c>
      <c r="X228" s="105">
        <v>7</v>
      </c>
      <c r="Y228" s="105">
        <f t="shared" si="266"/>
        <v>572.6</v>
      </c>
      <c r="Z228" s="104">
        <f>21.7+13.9+25.1+4.7+2.8+6.8+19.6+15.4+19.4</f>
        <v>129.4</v>
      </c>
      <c r="AA228" s="105">
        <f t="shared" si="255"/>
        <v>5.5084745762711869</v>
      </c>
      <c r="AB228" s="105">
        <v>6.5</v>
      </c>
      <c r="AC228" s="105">
        <f t="shared" si="267"/>
        <v>841.1</v>
      </c>
      <c r="AD228" s="105">
        <v>0</v>
      </c>
      <c r="AE228" s="105">
        <f t="shared" si="256"/>
        <v>4.2372881355932206</v>
      </c>
      <c r="AF228" s="105">
        <v>5</v>
      </c>
      <c r="AG228" s="105">
        <f t="shared" si="268"/>
        <v>0</v>
      </c>
      <c r="AH228" s="106">
        <v>17.600000000000001</v>
      </c>
      <c r="AI228" s="105">
        <f t="shared" si="257"/>
        <v>9.3220338983050848</v>
      </c>
      <c r="AJ228" s="116">
        <v>11</v>
      </c>
      <c r="AK228" s="105">
        <f t="shared" si="269"/>
        <v>193.60000000000002</v>
      </c>
      <c r="AL228" s="106">
        <f>4</f>
        <v>4</v>
      </c>
      <c r="AM228" s="105">
        <f t="shared" si="270"/>
        <v>12.711864406779661</v>
      </c>
      <c r="AN228" s="105">
        <v>15</v>
      </c>
      <c r="AO228" s="105">
        <f t="shared" si="271"/>
        <v>60</v>
      </c>
      <c r="AP228" s="105">
        <f t="shared" si="247"/>
        <v>4454.9661016949158</v>
      </c>
      <c r="AQ228" s="105">
        <f t="shared" si="248"/>
        <v>5256.8600000000006</v>
      </c>
      <c r="AR228" s="106">
        <v>0</v>
      </c>
      <c r="AS228" s="105" t="s">
        <v>312</v>
      </c>
      <c r="AT228" s="107">
        <v>0</v>
      </c>
      <c r="AU228" s="107">
        <f t="shared" si="272"/>
        <v>5.0847457627118651</v>
      </c>
      <c r="AV228" s="107">
        <v>6</v>
      </c>
      <c r="AW228" s="107">
        <f t="shared" si="273"/>
        <v>0</v>
      </c>
      <c r="AX228" s="107">
        <f t="shared" si="277"/>
        <v>0</v>
      </c>
      <c r="AY228" s="108">
        <f t="shared" si="246"/>
        <v>4454.9661016949158</v>
      </c>
      <c r="AZ228" s="109">
        <f t="shared" si="246"/>
        <v>5256.8600000000006</v>
      </c>
      <c r="BA228" s="9"/>
      <c r="BB228" s="9"/>
      <c r="BC228" s="9"/>
      <c r="BD228" s="9"/>
      <c r="BE228" s="45"/>
      <c r="BF228" s="45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</row>
    <row r="229" spans="1:93" s="4" customFormat="1" ht="409.5" outlineLevel="1" x14ac:dyDescent="0.25">
      <c r="A229" s="100">
        <f t="shared" si="278"/>
        <v>187</v>
      </c>
      <c r="B229" s="101" t="s">
        <v>296</v>
      </c>
      <c r="C229" s="140" t="s">
        <v>250</v>
      </c>
      <c r="D229" s="141" t="s">
        <v>19</v>
      </c>
      <c r="E229" s="104">
        <f t="shared" si="249"/>
        <v>1858.9999999999998</v>
      </c>
      <c r="F229" s="124">
        <v>0</v>
      </c>
      <c r="G229" s="105">
        <f t="shared" si="252"/>
        <v>16.949152542372882</v>
      </c>
      <c r="H229" s="105">
        <v>20</v>
      </c>
      <c r="I229" s="124">
        <f t="shared" si="259"/>
        <v>0</v>
      </c>
      <c r="J229" s="125">
        <v>29.6</v>
      </c>
      <c r="K229" s="105">
        <f t="shared" si="253"/>
        <v>12.711864406779661</v>
      </c>
      <c r="L229" s="105">
        <v>15</v>
      </c>
      <c r="M229" s="124">
        <f t="shared" si="260"/>
        <v>444</v>
      </c>
      <c r="N229" s="126">
        <v>1566</v>
      </c>
      <c r="O229" s="124">
        <f t="shared" si="261"/>
        <v>6.6101694915254239</v>
      </c>
      <c r="P229" s="105">
        <v>7.8</v>
      </c>
      <c r="Q229" s="124">
        <f t="shared" si="262"/>
        <v>12214.8</v>
      </c>
      <c r="R229" s="125">
        <v>0</v>
      </c>
      <c r="S229" s="124">
        <f t="shared" si="263"/>
        <v>13.220338983050848</v>
      </c>
      <c r="T229" s="105">
        <v>15.6</v>
      </c>
      <c r="U229" s="124">
        <f t="shared" si="264"/>
        <v>0</v>
      </c>
      <c r="V229" s="124">
        <f>54+19.6</f>
        <v>73.599999999999994</v>
      </c>
      <c r="W229" s="105">
        <f t="shared" ref="W229:W230" si="280">X229/1.18</f>
        <v>5.9322033898305087</v>
      </c>
      <c r="X229" s="105">
        <v>7</v>
      </c>
      <c r="Y229" s="124">
        <f t="shared" si="266"/>
        <v>515.19999999999993</v>
      </c>
      <c r="Z229" s="125">
        <v>150.9</v>
      </c>
      <c r="AA229" s="105">
        <f t="shared" si="255"/>
        <v>5.5084745762711869</v>
      </c>
      <c r="AB229" s="105">
        <v>6.5</v>
      </c>
      <c r="AC229" s="124">
        <f t="shared" si="267"/>
        <v>980.85</v>
      </c>
      <c r="AD229" s="124">
        <v>0</v>
      </c>
      <c r="AE229" s="105">
        <f t="shared" si="256"/>
        <v>4.2372881355932206</v>
      </c>
      <c r="AF229" s="105">
        <v>5</v>
      </c>
      <c r="AG229" s="124">
        <f t="shared" si="268"/>
        <v>0</v>
      </c>
      <c r="AH229" s="126">
        <v>33.299999999999997</v>
      </c>
      <c r="AI229" s="105">
        <f t="shared" si="257"/>
        <v>9.3220338983050848</v>
      </c>
      <c r="AJ229" s="116">
        <v>11</v>
      </c>
      <c r="AK229" s="124">
        <f t="shared" si="269"/>
        <v>366.29999999999995</v>
      </c>
      <c r="AL229" s="126">
        <v>5.6</v>
      </c>
      <c r="AM229" s="124">
        <f t="shared" si="270"/>
        <v>12.711864406779661</v>
      </c>
      <c r="AN229" s="105">
        <v>15</v>
      </c>
      <c r="AO229" s="124">
        <f t="shared" si="271"/>
        <v>84</v>
      </c>
      <c r="AP229" s="105">
        <f t="shared" si="247"/>
        <v>12377.245762711866</v>
      </c>
      <c r="AQ229" s="105">
        <f t="shared" si="248"/>
        <v>14605.15</v>
      </c>
      <c r="AR229" s="126">
        <v>0</v>
      </c>
      <c r="AS229" s="105" t="s">
        <v>312</v>
      </c>
      <c r="AT229" s="107">
        <v>0</v>
      </c>
      <c r="AU229" s="107">
        <f t="shared" si="272"/>
        <v>5.0847457627118651</v>
      </c>
      <c r="AV229" s="107">
        <v>6</v>
      </c>
      <c r="AW229" s="119">
        <f t="shared" si="273"/>
        <v>0</v>
      </c>
      <c r="AX229" s="119">
        <f t="shared" si="277"/>
        <v>0</v>
      </c>
      <c r="AY229" s="108">
        <f t="shared" si="246"/>
        <v>12377.245762711866</v>
      </c>
      <c r="AZ229" s="109">
        <f t="shared" si="246"/>
        <v>14605.15</v>
      </c>
      <c r="BA229" s="9"/>
      <c r="BB229" s="9"/>
      <c r="BC229" s="9"/>
      <c r="BD229" s="9"/>
      <c r="BE229" s="45"/>
      <c r="BF229" s="45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</row>
    <row r="230" spans="1:93" s="41" customFormat="1" ht="183" outlineLevel="1" x14ac:dyDescent="0.25">
      <c r="A230" s="100">
        <f t="shared" si="278"/>
        <v>188</v>
      </c>
      <c r="B230" s="101" t="s">
        <v>296</v>
      </c>
      <c r="C230" s="114" t="s">
        <v>267</v>
      </c>
      <c r="D230" s="115" t="s">
        <v>19</v>
      </c>
      <c r="E230" s="104">
        <f t="shared" si="249"/>
        <v>498.5</v>
      </c>
      <c r="F230" s="116">
        <v>0</v>
      </c>
      <c r="G230" s="105">
        <f t="shared" si="252"/>
        <v>16.949152542372882</v>
      </c>
      <c r="H230" s="105">
        <v>20</v>
      </c>
      <c r="I230" s="116">
        <f t="shared" si="259"/>
        <v>0</v>
      </c>
      <c r="J230" s="117">
        <f>11.6+10.5+10.6+10.4+16.7+9.1+13.8+10.3+10.2+13.2</f>
        <v>116.39999999999999</v>
      </c>
      <c r="K230" s="105">
        <f t="shared" si="253"/>
        <v>12.711864406779661</v>
      </c>
      <c r="L230" s="105">
        <v>15</v>
      </c>
      <c r="M230" s="105">
        <f t="shared" si="260"/>
        <v>1745.9999999999998</v>
      </c>
      <c r="N230" s="118">
        <f>21.8+30.4+34.2+191.6</f>
        <v>278</v>
      </c>
      <c r="O230" s="116">
        <v>0</v>
      </c>
      <c r="P230" s="105">
        <v>7.8</v>
      </c>
      <c r="Q230" s="105">
        <f t="shared" si="262"/>
        <v>2168.4</v>
      </c>
      <c r="R230" s="117">
        <v>0</v>
      </c>
      <c r="S230" s="105">
        <f t="shared" si="263"/>
        <v>13.220338983050848</v>
      </c>
      <c r="T230" s="105">
        <v>15.6</v>
      </c>
      <c r="U230" s="116">
        <f t="shared" si="264"/>
        <v>0</v>
      </c>
      <c r="V230" s="116">
        <v>2.4</v>
      </c>
      <c r="W230" s="105">
        <f t="shared" si="280"/>
        <v>5.9322033898305087</v>
      </c>
      <c r="X230" s="105">
        <v>7</v>
      </c>
      <c r="Y230" s="105">
        <f t="shared" si="266"/>
        <v>16.8</v>
      </c>
      <c r="Z230" s="117">
        <f>1.7+46.4+3+2.7+9.3+16.5+16.6</f>
        <v>96.200000000000017</v>
      </c>
      <c r="AA230" s="105">
        <f t="shared" si="255"/>
        <v>5.5084745762711869</v>
      </c>
      <c r="AB230" s="105">
        <v>6.5</v>
      </c>
      <c r="AC230" s="105">
        <f t="shared" si="267"/>
        <v>625.30000000000007</v>
      </c>
      <c r="AD230" s="116">
        <v>0</v>
      </c>
      <c r="AE230" s="105">
        <f t="shared" si="256"/>
        <v>4.2372881355932206</v>
      </c>
      <c r="AF230" s="105">
        <v>5</v>
      </c>
      <c r="AG230" s="116">
        <f t="shared" si="268"/>
        <v>0</v>
      </c>
      <c r="AH230" s="118">
        <v>0</v>
      </c>
      <c r="AI230" s="105">
        <f t="shared" si="257"/>
        <v>9.3220338983050848</v>
      </c>
      <c r="AJ230" s="116">
        <v>11</v>
      </c>
      <c r="AK230" s="116">
        <f t="shared" si="269"/>
        <v>0</v>
      </c>
      <c r="AL230" s="118">
        <f>3.5+2</f>
        <v>5.5</v>
      </c>
      <c r="AM230" s="116"/>
      <c r="AN230" s="105">
        <v>15</v>
      </c>
      <c r="AO230" s="116"/>
      <c r="AP230" s="105">
        <f t="shared" si="247"/>
        <v>3861.4406779661017</v>
      </c>
      <c r="AQ230" s="105">
        <f t="shared" si="248"/>
        <v>4556.5</v>
      </c>
      <c r="AR230" s="118">
        <v>0</v>
      </c>
      <c r="AS230" s="105" t="s">
        <v>312</v>
      </c>
      <c r="AT230" s="107">
        <v>0</v>
      </c>
      <c r="AU230" s="107">
        <f t="shared" si="272"/>
        <v>5.0847457627118651</v>
      </c>
      <c r="AV230" s="107">
        <v>6</v>
      </c>
      <c r="AW230" s="107">
        <f t="shared" ref="AW230" si="281">AU230*AR230</f>
        <v>0</v>
      </c>
      <c r="AX230" s="107">
        <f t="shared" ref="AX230" si="282">AV230*AR230</f>
        <v>0</v>
      </c>
      <c r="AY230" s="108">
        <f t="shared" si="246"/>
        <v>3861.4406779661017</v>
      </c>
      <c r="AZ230" s="109">
        <f t="shared" si="246"/>
        <v>4556.5</v>
      </c>
      <c r="BA230" s="72"/>
      <c r="BB230" s="9"/>
      <c r="BC230" s="9"/>
      <c r="BD230" s="9"/>
      <c r="BE230" s="45"/>
      <c r="BF230" s="45"/>
      <c r="BG230" s="69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  <c r="BX230" s="43"/>
      <c r="BY230" s="43"/>
      <c r="BZ230" s="43"/>
      <c r="CA230" s="43"/>
      <c r="CB230" s="43"/>
      <c r="CC230" s="43"/>
      <c r="CD230" s="43"/>
      <c r="CE230" s="43"/>
      <c r="CF230" s="43"/>
      <c r="CG230" s="43"/>
      <c r="CH230" s="43"/>
      <c r="CI230" s="43"/>
      <c r="CJ230" s="43"/>
      <c r="CK230" s="43"/>
      <c r="CL230" s="43"/>
      <c r="CM230" s="43"/>
      <c r="CN230" s="43"/>
      <c r="CO230" s="43"/>
    </row>
    <row r="231" spans="1:93" s="31" customFormat="1" ht="45.75" outlineLevel="1" x14ac:dyDescent="0.3">
      <c r="A231" s="149" t="s">
        <v>64</v>
      </c>
      <c r="B231" s="150"/>
      <c r="C231" s="150"/>
      <c r="D231" s="133"/>
      <c r="E231" s="104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  <c r="AA231" s="133"/>
      <c r="AB231" s="133"/>
      <c r="AC231" s="133"/>
      <c r="AD231" s="133"/>
      <c r="AE231" s="133"/>
      <c r="AF231" s="133"/>
      <c r="AG231" s="133"/>
      <c r="AH231" s="133"/>
      <c r="AI231" s="133"/>
      <c r="AJ231" s="133"/>
      <c r="AK231" s="133"/>
      <c r="AL231" s="133"/>
      <c r="AM231" s="133"/>
      <c r="AN231" s="133"/>
      <c r="AO231" s="133"/>
      <c r="AP231" s="111"/>
      <c r="AQ231" s="111"/>
      <c r="AR231" s="133"/>
      <c r="AS231" s="105"/>
      <c r="AT231" s="133"/>
      <c r="AU231" s="133"/>
      <c r="AV231" s="133"/>
      <c r="AW231" s="133"/>
      <c r="AX231" s="133"/>
      <c r="AY231" s="111"/>
      <c r="AZ231" s="112"/>
      <c r="BA231" s="30"/>
      <c r="BB231" s="30"/>
      <c r="BC231" s="30"/>
      <c r="BD231" s="30"/>
      <c r="BE231" s="30"/>
      <c r="BF231" s="30"/>
    </row>
    <row r="232" spans="1:93" s="4" customFormat="1" ht="274.5" outlineLevel="1" x14ac:dyDescent="0.25">
      <c r="A232" s="100">
        <f>A230+1</f>
        <v>189</v>
      </c>
      <c r="B232" s="101" t="s">
        <v>20</v>
      </c>
      <c r="C232" s="102" t="s">
        <v>206</v>
      </c>
      <c r="D232" s="103" t="s">
        <v>19</v>
      </c>
      <c r="E232" s="104">
        <f t="shared" si="249"/>
        <v>114.6</v>
      </c>
      <c r="F232" s="105">
        <v>0</v>
      </c>
      <c r="G232" s="105">
        <f t="shared" si="252"/>
        <v>16.949152542372882</v>
      </c>
      <c r="H232" s="105">
        <v>20</v>
      </c>
      <c r="I232" s="105">
        <f t="shared" si="259"/>
        <v>0</v>
      </c>
      <c r="J232" s="104">
        <v>0</v>
      </c>
      <c r="K232" s="105">
        <f t="shared" si="253"/>
        <v>12.711864406779661</v>
      </c>
      <c r="L232" s="105">
        <v>15</v>
      </c>
      <c r="M232" s="105">
        <f t="shared" si="260"/>
        <v>0</v>
      </c>
      <c r="N232" s="106">
        <v>0</v>
      </c>
      <c r="O232" s="105">
        <f t="shared" si="261"/>
        <v>6.6101694915254239</v>
      </c>
      <c r="P232" s="105">
        <v>7.8</v>
      </c>
      <c r="Q232" s="105">
        <f t="shared" si="262"/>
        <v>0</v>
      </c>
      <c r="R232" s="104">
        <v>114.6</v>
      </c>
      <c r="S232" s="105">
        <f t="shared" si="263"/>
        <v>13.220338983050848</v>
      </c>
      <c r="T232" s="105">
        <v>15.6</v>
      </c>
      <c r="U232" s="105">
        <f t="shared" si="264"/>
        <v>1787.7599999999998</v>
      </c>
      <c r="V232" s="105">
        <v>0</v>
      </c>
      <c r="W232" s="105">
        <f t="shared" ref="W232:W234" si="283">X232/1.18</f>
        <v>5.9322033898305087</v>
      </c>
      <c r="X232" s="105">
        <v>7</v>
      </c>
      <c r="Y232" s="105">
        <f t="shared" si="266"/>
        <v>0</v>
      </c>
      <c r="Z232" s="104">
        <v>0</v>
      </c>
      <c r="AA232" s="105">
        <f t="shared" si="255"/>
        <v>5.5084745762711869</v>
      </c>
      <c r="AB232" s="105">
        <v>6.5</v>
      </c>
      <c r="AC232" s="105">
        <f t="shared" si="267"/>
        <v>0</v>
      </c>
      <c r="AD232" s="105">
        <v>0</v>
      </c>
      <c r="AE232" s="105">
        <f t="shared" si="256"/>
        <v>4.2372881355932206</v>
      </c>
      <c r="AF232" s="105">
        <v>5</v>
      </c>
      <c r="AG232" s="105">
        <f t="shared" si="268"/>
        <v>0</v>
      </c>
      <c r="AH232" s="106">
        <v>0</v>
      </c>
      <c r="AI232" s="105">
        <f t="shared" si="257"/>
        <v>9.3220338983050848</v>
      </c>
      <c r="AJ232" s="116">
        <v>11</v>
      </c>
      <c r="AK232" s="105">
        <f t="shared" si="269"/>
        <v>0</v>
      </c>
      <c r="AL232" s="106">
        <v>0</v>
      </c>
      <c r="AM232" s="105">
        <f t="shared" si="270"/>
        <v>12.711864406779661</v>
      </c>
      <c r="AN232" s="105">
        <v>15</v>
      </c>
      <c r="AO232" s="105">
        <f t="shared" si="271"/>
        <v>0</v>
      </c>
      <c r="AP232" s="105">
        <f t="shared" si="247"/>
        <v>1515.050847457627</v>
      </c>
      <c r="AQ232" s="105">
        <f t="shared" si="248"/>
        <v>1787.7599999999998</v>
      </c>
      <c r="AR232" s="106">
        <v>0</v>
      </c>
      <c r="AS232" s="105" t="s">
        <v>312</v>
      </c>
      <c r="AT232" s="107">
        <v>0</v>
      </c>
      <c r="AU232" s="107">
        <f t="shared" si="272"/>
        <v>5.0847457627118651</v>
      </c>
      <c r="AV232" s="107">
        <v>6</v>
      </c>
      <c r="AW232" s="107">
        <f t="shared" si="273"/>
        <v>0</v>
      </c>
      <c r="AX232" s="107">
        <f t="shared" si="277"/>
        <v>0</v>
      </c>
      <c r="AY232" s="108">
        <f t="shared" si="246"/>
        <v>1515.050847457627</v>
      </c>
      <c r="AZ232" s="109">
        <f t="shared" si="246"/>
        <v>1787.7599999999998</v>
      </c>
      <c r="BA232" s="9"/>
      <c r="BB232" s="9"/>
      <c r="BC232" s="9"/>
      <c r="BD232" s="9"/>
      <c r="BE232" s="45"/>
      <c r="BF232" s="45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</row>
    <row r="233" spans="1:93" s="4" customFormat="1" ht="228.75" outlineLevel="1" x14ac:dyDescent="0.25">
      <c r="A233" s="100">
        <f>A232+1</f>
        <v>190</v>
      </c>
      <c r="B233" s="101" t="s">
        <v>20</v>
      </c>
      <c r="C233" s="102" t="s">
        <v>207</v>
      </c>
      <c r="D233" s="103" t="s">
        <v>19</v>
      </c>
      <c r="E233" s="104">
        <f t="shared" si="249"/>
        <v>89.6</v>
      </c>
      <c r="F233" s="105">
        <v>0</v>
      </c>
      <c r="G233" s="105">
        <f t="shared" si="252"/>
        <v>16.949152542372882</v>
      </c>
      <c r="H233" s="105">
        <v>20</v>
      </c>
      <c r="I233" s="105">
        <f t="shared" si="259"/>
        <v>0</v>
      </c>
      <c r="J233" s="104">
        <v>0</v>
      </c>
      <c r="K233" s="105">
        <f t="shared" si="253"/>
        <v>12.711864406779661</v>
      </c>
      <c r="L233" s="105">
        <v>15</v>
      </c>
      <c r="M233" s="105">
        <f t="shared" si="260"/>
        <v>0</v>
      </c>
      <c r="N233" s="106">
        <v>0</v>
      </c>
      <c r="O233" s="105">
        <f t="shared" si="261"/>
        <v>6.6101694915254239</v>
      </c>
      <c r="P233" s="105">
        <v>7.8</v>
      </c>
      <c r="Q233" s="105">
        <f t="shared" si="262"/>
        <v>0</v>
      </c>
      <c r="R233" s="104">
        <v>89.6</v>
      </c>
      <c r="S233" s="105">
        <f t="shared" si="263"/>
        <v>13.220338983050848</v>
      </c>
      <c r="T233" s="105">
        <v>15.6</v>
      </c>
      <c r="U233" s="105">
        <f t="shared" si="264"/>
        <v>1397.76</v>
      </c>
      <c r="V233" s="105">
        <v>0</v>
      </c>
      <c r="W233" s="105">
        <f t="shared" si="283"/>
        <v>5.9322033898305087</v>
      </c>
      <c r="X233" s="105">
        <v>7</v>
      </c>
      <c r="Y233" s="105">
        <f t="shared" si="266"/>
        <v>0</v>
      </c>
      <c r="Z233" s="104">
        <v>0</v>
      </c>
      <c r="AA233" s="105">
        <f t="shared" si="255"/>
        <v>5.5084745762711869</v>
      </c>
      <c r="AB233" s="105">
        <v>6.5</v>
      </c>
      <c r="AC233" s="105">
        <f t="shared" si="267"/>
        <v>0</v>
      </c>
      <c r="AD233" s="105">
        <v>0</v>
      </c>
      <c r="AE233" s="105">
        <f t="shared" si="256"/>
        <v>4.2372881355932206</v>
      </c>
      <c r="AF233" s="105">
        <v>5</v>
      </c>
      <c r="AG233" s="105">
        <f t="shared" si="268"/>
        <v>0</v>
      </c>
      <c r="AH233" s="106">
        <v>0</v>
      </c>
      <c r="AI233" s="105">
        <f t="shared" si="257"/>
        <v>9.3220338983050848</v>
      </c>
      <c r="AJ233" s="116">
        <v>11</v>
      </c>
      <c r="AK233" s="105">
        <f t="shared" si="269"/>
        <v>0</v>
      </c>
      <c r="AL233" s="106">
        <v>0</v>
      </c>
      <c r="AM233" s="105">
        <f t="shared" si="270"/>
        <v>12.711864406779661</v>
      </c>
      <c r="AN233" s="105">
        <v>15</v>
      </c>
      <c r="AO233" s="105">
        <f t="shared" si="271"/>
        <v>0</v>
      </c>
      <c r="AP233" s="105">
        <f t="shared" si="247"/>
        <v>1184.542372881356</v>
      </c>
      <c r="AQ233" s="105">
        <f t="shared" si="248"/>
        <v>1397.76</v>
      </c>
      <c r="AR233" s="106">
        <v>0</v>
      </c>
      <c r="AS233" s="105" t="s">
        <v>312</v>
      </c>
      <c r="AT233" s="107">
        <v>0</v>
      </c>
      <c r="AU233" s="107">
        <f t="shared" si="272"/>
        <v>5.0847457627118651</v>
      </c>
      <c r="AV233" s="107">
        <v>6</v>
      </c>
      <c r="AW233" s="107">
        <f t="shared" si="273"/>
        <v>0</v>
      </c>
      <c r="AX233" s="107">
        <f t="shared" si="277"/>
        <v>0</v>
      </c>
      <c r="AY233" s="108">
        <f t="shared" si="246"/>
        <v>1184.542372881356</v>
      </c>
      <c r="AZ233" s="109">
        <f t="shared" si="246"/>
        <v>1397.76</v>
      </c>
      <c r="BA233" s="9"/>
      <c r="BB233" s="9"/>
      <c r="BC233" s="9"/>
      <c r="BD233" s="9"/>
      <c r="BE233" s="45"/>
      <c r="BF233" s="45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</row>
    <row r="234" spans="1:93" s="4" customFormat="1" ht="228.75" outlineLevel="1" x14ac:dyDescent="0.25">
      <c r="A234" s="100">
        <f t="shared" ref="A234:A254" si="284">A233+1</f>
        <v>191</v>
      </c>
      <c r="B234" s="101" t="s">
        <v>20</v>
      </c>
      <c r="C234" s="102" t="s">
        <v>208</v>
      </c>
      <c r="D234" s="103" t="s">
        <v>19</v>
      </c>
      <c r="E234" s="104">
        <f t="shared" si="249"/>
        <v>24.2</v>
      </c>
      <c r="F234" s="105">
        <v>0</v>
      </c>
      <c r="G234" s="105">
        <f t="shared" si="252"/>
        <v>16.949152542372882</v>
      </c>
      <c r="H234" s="105">
        <v>20</v>
      </c>
      <c r="I234" s="105">
        <f t="shared" si="259"/>
        <v>0</v>
      </c>
      <c r="J234" s="104">
        <v>0</v>
      </c>
      <c r="K234" s="105">
        <f t="shared" si="253"/>
        <v>12.711864406779661</v>
      </c>
      <c r="L234" s="105">
        <v>15</v>
      </c>
      <c r="M234" s="105">
        <f t="shared" si="260"/>
        <v>0</v>
      </c>
      <c r="N234" s="106">
        <v>0</v>
      </c>
      <c r="O234" s="105">
        <f t="shared" si="261"/>
        <v>6.6101694915254239</v>
      </c>
      <c r="P234" s="105">
        <v>7.8</v>
      </c>
      <c r="Q234" s="105">
        <f t="shared" si="262"/>
        <v>0</v>
      </c>
      <c r="R234" s="104">
        <v>24.2</v>
      </c>
      <c r="S234" s="105">
        <f t="shared" si="263"/>
        <v>13.220338983050848</v>
      </c>
      <c r="T234" s="105">
        <v>15.6</v>
      </c>
      <c r="U234" s="105">
        <f t="shared" si="264"/>
        <v>377.52</v>
      </c>
      <c r="V234" s="105">
        <v>0</v>
      </c>
      <c r="W234" s="105">
        <f t="shared" si="283"/>
        <v>5.9322033898305087</v>
      </c>
      <c r="X234" s="105">
        <v>7</v>
      </c>
      <c r="Y234" s="105">
        <f t="shared" si="266"/>
        <v>0</v>
      </c>
      <c r="Z234" s="104">
        <v>0</v>
      </c>
      <c r="AA234" s="105">
        <f t="shared" si="255"/>
        <v>5.5084745762711869</v>
      </c>
      <c r="AB234" s="105">
        <v>6.5</v>
      </c>
      <c r="AC234" s="105">
        <f t="shared" si="267"/>
        <v>0</v>
      </c>
      <c r="AD234" s="105">
        <v>0</v>
      </c>
      <c r="AE234" s="105">
        <f t="shared" si="256"/>
        <v>4.2372881355932206</v>
      </c>
      <c r="AF234" s="105">
        <v>5</v>
      </c>
      <c r="AG234" s="105">
        <f t="shared" si="268"/>
        <v>0</v>
      </c>
      <c r="AH234" s="106">
        <v>0</v>
      </c>
      <c r="AI234" s="105">
        <f t="shared" si="257"/>
        <v>9.3220338983050848</v>
      </c>
      <c r="AJ234" s="116">
        <v>11</v>
      </c>
      <c r="AK234" s="105">
        <f t="shared" si="269"/>
        <v>0</v>
      </c>
      <c r="AL234" s="106">
        <v>0</v>
      </c>
      <c r="AM234" s="105">
        <f t="shared" si="270"/>
        <v>12.711864406779661</v>
      </c>
      <c r="AN234" s="105">
        <v>15</v>
      </c>
      <c r="AO234" s="105">
        <f t="shared" si="271"/>
        <v>0</v>
      </c>
      <c r="AP234" s="105">
        <f t="shared" si="247"/>
        <v>319.93220338983053</v>
      </c>
      <c r="AQ234" s="105">
        <f t="shared" si="248"/>
        <v>377.52</v>
      </c>
      <c r="AR234" s="106">
        <v>0</v>
      </c>
      <c r="AS234" s="105" t="s">
        <v>312</v>
      </c>
      <c r="AT234" s="107">
        <v>0</v>
      </c>
      <c r="AU234" s="107">
        <f t="shared" si="272"/>
        <v>5.0847457627118651</v>
      </c>
      <c r="AV234" s="107">
        <v>6</v>
      </c>
      <c r="AW234" s="107">
        <f t="shared" si="273"/>
        <v>0</v>
      </c>
      <c r="AX234" s="107">
        <f t="shared" si="277"/>
        <v>0</v>
      </c>
      <c r="AY234" s="108">
        <f t="shared" si="246"/>
        <v>319.93220338983053</v>
      </c>
      <c r="AZ234" s="109">
        <f t="shared" si="246"/>
        <v>377.52</v>
      </c>
      <c r="BA234" s="9"/>
      <c r="BB234" s="9"/>
      <c r="BC234" s="9"/>
      <c r="BD234" s="9"/>
      <c r="BE234" s="45"/>
      <c r="BF234" s="45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</row>
    <row r="235" spans="1:93" s="4" customFormat="1" ht="228.75" outlineLevel="1" x14ac:dyDescent="0.25">
      <c r="A235" s="100">
        <f t="shared" si="284"/>
        <v>192</v>
      </c>
      <c r="B235" s="101" t="s">
        <v>20</v>
      </c>
      <c r="C235" s="102" t="s">
        <v>209</v>
      </c>
      <c r="D235" s="103" t="s">
        <v>19</v>
      </c>
      <c r="E235" s="104">
        <f t="shared" si="249"/>
        <v>10</v>
      </c>
      <c r="F235" s="105">
        <v>0</v>
      </c>
      <c r="G235" s="105">
        <f t="shared" si="252"/>
        <v>16.949152542372882</v>
      </c>
      <c r="H235" s="105">
        <v>20</v>
      </c>
      <c r="I235" s="105">
        <f t="shared" si="259"/>
        <v>0</v>
      </c>
      <c r="J235" s="104">
        <v>0</v>
      </c>
      <c r="K235" s="105">
        <f t="shared" si="253"/>
        <v>12.711864406779661</v>
      </c>
      <c r="L235" s="105">
        <v>15</v>
      </c>
      <c r="M235" s="105">
        <f t="shared" si="260"/>
        <v>0</v>
      </c>
      <c r="N235" s="106">
        <v>0</v>
      </c>
      <c r="O235" s="105">
        <f t="shared" si="261"/>
        <v>6.6101694915254239</v>
      </c>
      <c r="P235" s="105">
        <v>7.8</v>
      </c>
      <c r="Q235" s="105">
        <f t="shared" si="262"/>
        <v>0</v>
      </c>
      <c r="R235" s="104">
        <v>10</v>
      </c>
      <c r="S235" s="105">
        <f t="shared" si="263"/>
        <v>13.220338983050848</v>
      </c>
      <c r="T235" s="105">
        <v>15.6</v>
      </c>
      <c r="U235" s="105">
        <f t="shared" si="264"/>
        <v>156</v>
      </c>
      <c r="V235" s="105">
        <v>0</v>
      </c>
      <c r="W235" s="105">
        <v>4.2</v>
      </c>
      <c r="X235" s="105">
        <v>7</v>
      </c>
      <c r="Y235" s="105">
        <f t="shared" si="266"/>
        <v>0</v>
      </c>
      <c r="Z235" s="104">
        <v>0</v>
      </c>
      <c r="AA235" s="105">
        <f t="shared" si="255"/>
        <v>5.5084745762711869</v>
      </c>
      <c r="AB235" s="105">
        <v>6.5</v>
      </c>
      <c r="AC235" s="105">
        <f t="shared" si="267"/>
        <v>0</v>
      </c>
      <c r="AD235" s="105">
        <v>0</v>
      </c>
      <c r="AE235" s="105">
        <f t="shared" si="256"/>
        <v>4.2372881355932206</v>
      </c>
      <c r="AF235" s="105">
        <v>5</v>
      </c>
      <c r="AG235" s="105">
        <f t="shared" si="268"/>
        <v>0</v>
      </c>
      <c r="AH235" s="106">
        <v>0</v>
      </c>
      <c r="AI235" s="105">
        <f t="shared" si="257"/>
        <v>9.3220338983050848</v>
      </c>
      <c r="AJ235" s="116">
        <v>11</v>
      </c>
      <c r="AK235" s="105">
        <f t="shared" si="269"/>
        <v>0</v>
      </c>
      <c r="AL235" s="106">
        <v>0</v>
      </c>
      <c r="AM235" s="105">
        <f t="shared" si="270"/>
        <v>12.711864406779661</v>
      </c>
      <c r="AN235" s="105">
        <v>15</v>
      </c>
      <c r="AO235" s="105">
        <f t="shared" si="271"/>
        <v>0</v>
      </c>
      <c r="AP235" s="105">
        <f t="shared" si="247"/>
        <v>132.20338983050848</v>
      </c>
      <c r="AQ235" s="105">
        <f t="shared" si="248"/>
        <v>156</v>
      </c>
      <c r="AR235" s="106">
        <v>0</v>
      </c>
      <c r="AS235" s="105" t="s">
        <v>312</v>
      </c>
      <c r="AT235" s="107">
        <v>0</v>
      </c>
      <c r="AU235" s="107">
        <f t="shared" si="272"/>
        <v>5.0847457627118651</v>
      </c>
      <c r="AV235" s="107">
        <v>6</v>
      </c>
      <c r="AW235" s="107">
        <f t="shared" si="273"/>
        <v>0</v>
      </c>
      <c r="AX235" s="107">
        <f t="shared" si="277"/>
        <v>0</v>
      </c>
      <c r="AY235" s="108">
        <f t="shared" si="246"/>
        <v>132.20338983050848</v>
      </c>
      <c r="AZ235" s="109">
        <f t="shared" si="246"/>
        <v>156</v>
      </c>
      <c r="BA235" s="9"/>
      <c r="BB235" s="9"/>
      <c r="BC235" s="9"/>
      <c r="BD235" s="9"/>
      <c r="BE235" s="45"/>
      <c r="BF235" s="45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</row>
    <row r="236" spans="1:93" s="4" customFormat="1" ht="274.5" outlineLevel="1" x14ac:dyDescent="0.25">
      <c r="A236" s="100">
        <f t="shared" si="284"/>
        <v>193</v>
      </c>
      <c r="B236" s="101" t="s">
        <v>20</v>
      </c>
      <c r="C236" s="102" t="s">
        <v>210</v>
      </c>
      <c r="D236" s="103" t="s">
        <v>19</v>
      </c>
      <c r="E236" s="104">
        <f t="shared" si="249"/>
        <v>48.900000000000006</v>
      </c>
      <c r="F236" s="105">
        <v>0</v>
      </c>
      <c r="G236" s="105">
        <f t="shared" si="252"/>
        <v>16.949152542372882</v>
      </c>
      <c r="H236" s="105">
        <v>20</v>
      </c>
      <c r="I236" s="105">
        <f t="shared" si="259"/>
        <v>0</v>
      </c>
      <c r="J236" s="104">
        <v>0</v>
      </c>
      <c r="K236" s="105">
        <f t="shared" si="253"/>
        <v>12.711864406779661</v>
      </c>
      <c r="L236" s="105">
        <v>15</v>
      </c>
      <c r="M236" s="105">
        <f t="shared" si="260"/>
        <v>0</v>
      </c>
      <c r="N236" s="106">
        <v>0</v>
      </c>
      <c r="O236" s="105">
        <f t="shared" si="261"/>
        <v>6.6101694915254239</v>
      </c>
      <c r="P236" s="105">
        <v>7.8</v>
      </c>
      <c r="Q236" s="105">
        <f t="shared" si="262"/>
        <v>0</v>
      </c>
      <c r="R236" s="104">
        <v>42.7</v>
      </c>
      <c r="S236" s="105">
        <f t="shared" si="263"/>
        <v>13.220338983050848</v>
      </c>
      <c r="T236" s="105">
        <v>15.6</v>
      </c>
      <c r="U236" s="105">
        <f t="shared" si="264"/>
        <v>666.12</v>
      </c>
      <c r="V236" s="105">
        <v>0</v>
      </c>
      <c r="W236" s="105">
        <f t="shared" ref="W236:W238" si="285">X236/1.18</f>
        <v>5.9322033898305087</v>
      </c>
      <c r="X236" s="105">
        <v>7</v>
      </c>
      <c r="Y236" s="105">
        <f t="shared" si="266"/>
        <v>0</v>
      </c>
      <c r="Z236" s="104">
        <v>0</v>
      </c>
      <c r="AA236" s="105">
        <f t="shared" si="255"/>
        <v>5.5084745762711869</v>
      </c>
      <c r="AB236" s="105">
        <v>6.5</v>
      </c>
      <c r="AC236" s="105">
        <f t="shared" si="267"/>
        <v>0</v>
      </c>
      <c r="AD236" s="105">
        <v>0</v>
      </c>
      <c r="AE236" s="105">
        <f t="shared" si="256"/>
        <v>4.2372881355932206</v>
      </c>
      <c r="AF236" s="105">
        <v>5</v>
      </c>
      <c r="AG236" s="105">
        <f t="shared" si="268"/>
        <v>0</v>
      </c>
      <c r="AH236" s="106">
        <v>0</v>
      </c>
      <c r="AI236" s="105">
        <f t="shared" si="257"/>
        <v>9.3220338983050848</v>
      </c>
      <c r="AJ236" s="116">
        <v>11</v>
      </c>
      <c r="AK236" s="105">
        <f t="shared" si="269"/>
        <v>0</v>
      </c>
      <c r="AL236" s="106">
        <v>6.2</v>
      </c>
      <c r="AM236" s="105">
        <f t="shared" si="270"/>
        <v>12.711864406779661</v>
      </c>
      <c r="AN236" s="105">
        <v>15</v>
      </c>
      <c r="AO236" s="105">
        <f t="shared" si="271"/>
        <v>93</v>
      </c>
      <c r="AP236" s="105">
        <f t="shared" si="247"/>
        <v>643.32203389830511</v>
      </c>
      <c r="AQ236" s="105">
        <f t="shared" si="248"/>
        <v>759.12</v>
      </c>
      <c r="AR236" s="106">
        <v>0</v>
      </c>
      <c r="AS236" s="105" t="s">
        <v>312</v>
      </c>
      <c r="AT236" s="107">
        <v>0</v>
      </c>
      <c r="AU236" s="107">
        <f t="shared" si="272"/>
        <v>5.0847457627118651</v>
      </c>
      <c r="AV236" s="107">
        <v>6</v>
      </c>
      <c r="AW236" s="107">
        <f t="shared" si="273"/>
        <v>0</v>
      </c>
      <c r="AX236" s="107">
        <f t="shared" si="277"/>
        <v>0</v>
      </c>
      <c r="AY236" s="108">
        <f t="shared" si="246"/>
        <v>643.32203389830511</v>
      </c>
      <c r="AZ236" s="109">
        <f t="shared" si="246"/>
        <v>759.12</v>
      </c>
      <c r="BA236" s="9"/>
      <c r="BB236" s="9"/>
      <c r="BC236" s="9"/>
      <c r="BD236" s="9"/>
      <c r="BE236" s="45"/>
      <c r="BF236" s="45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</row>
    <row r="237" spans="1:93" s="4" customFormat="1" ht="320.25" outlineLevel="1" x14ac:dyDescent="0.25">
      <c r="A237" s="100">
        <f t="shared" si="284"/>
        <v>194</v>
      </c>
      <c r="B237" s="101" t="s">
        <v>20</v>
      </c>
      <c r="C237" s="102" t="s">
        <v>211</v>
      </c>
      <c r="D237" s="103" t="s">
        <v>19</v>
      </c>
      <c r="E237" s="104">
        <f t="shared" si="249"/>
        <v>69</v>
      </c>
      <c r="F237" s="105">
        <v>0</v>
      </c>
      <c r="G237" s="105">
        <f t="shared" si="252"/>
        <v>16.949152542372882</v>
      </c>
      <c r="H237" s="105">
        <v>20</v>
      </c>
      <c r="I237" s="105">
        <f t="shared" si="259"/>
        <v>0</v>
      </c>
      <c r="J237" s="104">
        <v>0</v>
      </c>
      <c r="K237" s="105">
        <f t="shared" si="253"/>
        <v>12.711864406779661</v>
      </c>
      <c r="L237" s="105">
        <v>15</v>
      </c>
      <c r="M237" s="105">
        <f t="shared" si="260"/>
        <v>0</v>
      </c>
      <c r="N237" s="106">
        <v>0</v>
      </c>
      <c r="O237" s="105">
        <f t="shared" si="261"/>
        <v>6.6101694915254239</v>
      </c>
      <c r="P237" s="105">
        <v>7.8</v>
      </c>
      <c r="Q237" s="105">
        <f t="shared" si="262"/>
        <v>0</v>
      </c>
      <c r="R237" s="104">
        <v>63.2</v>
      </c>
      <c r="S237" s="105">
        <f t="shared" si="263"/>
        <v>13.220338983050848</v>
      </c>
      <c r="T237" s="105">
        <v>15.6</v>
      </c>
      <c r="U237" s="105">
        <f t="shared" si="264"/>
        <v>985.92000000000007</v>
      </c>
      <c r="V237" s="105">
        <v>0</v>
      </c>
      <c r="W237" s="105">
        <f t="shared" si="285"/>
        <v>5.9322033898305087</v>
      </c>
      <c r="X237" s="105">
        <v>7</v>
      </c>
      <c r="Y237" s="105">
        <f t="shared" si="266"/>
        <v>0</v>
      </c>
      <c r="Z237" s="104">
        <v>5.8</v>
      </c>
      <c r="AA237" s="105">
        <f t="shared" si="255"/>
        <v>5.5084745762711869</v>
      </c>
      <c r="AB237" s="105">
        <v>6.5</v>
      </c>
      <c r="AC237" s="105">
        <f t="shared" si="267"/>
        <v>37.699999999999996</v>
      </c>
      <c r="AD237" s="105">
        <v>0</v>
      </c>
      <c r="AE237" s="105">
        <f t="shared" si="256"/>
        <v>4.2372881355932206</v>
      </c>
      <c r="AF237" s="105">
        <v>5</v>
      </c>
      <c r="AG237" s="105">
        <f t="shared" si="268"/>
        <v>0</v>
      </c>
      <c r="AH237" s="106">
        <v>0</v>
      </c>
      <c r="AI237" s="105">
        <f t="shared" si="257"/>
        <v>9.3220338983050848</v>
      </c>
      <c r="AJ237" s="116">
        <v>11</v>
      </c>
      <c r="AK237" s="105">
        <f t="shared" si="269"/>
        <v>0</v>
      </c>
      <c r="AL237" s="106">
        <v>0</v>
      </c>
      <c r="AM237" s="105">
        <f t="shared" si="270"/>
        <v>12.711864406779661</v>
      </c>
      <c r="AN237" s="105">
        <v>15</v>
      </c>
      <c r="AO237" s="105">
        <f t="shared" si="271"/>
        <v>0</v>
      </c>
      <c r="AP237" s="105">
        <f t="shared" si="247"/>
        <v>867.47457627118661</v>
      </c>
      <c r="AQ237" s="105">
        <f t="shared" si="248"/>
        <v>1023.6200000000001</v>
      </c>
      <c r="AR237" s="106">
        <v>0</v>
      </c>
      <c r="AS237" s="105" t="s">
        <v>312</v>
      </c>
      <c r="AT237" s="107">
        <v>0</v>
      </c>
      <c r="AU237" s="107">
        <f t="shared" si="272"/>
        <v>5.0847457627118651</v>
      </c>
      <c r="AV237" s="107">
        <v>6</v>
      </c>
      <c r="AW237" s="107">
        <f t="shared" si="273"/>
        <v>0</v>
      </c>
      <c r="AX237" s="107">
        <f t="shared" si="277"/>
        <v>0</v>
      </c>
      <c r="AY237" s="108">
        <f t="shared" si="246"/>
        <v>867.47457627118661</v>
      </c>
      <c r="AZ237" s="109">
        <f t="shared" si="246"/>
        <v>1023.6200000000001</v>
      </c>
      <c r="BA237" s="9"/>
      <c r="BB237" s="9"/>
      <c r="BC237" s="9"/>
      <c r="BD237" s="9"/>
      <c r="BE237" s="45"/>
      <c r="BF237" s="45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</row>
    <row r="238" spans="1:93" s="4" customFormat="1" ht="274.5" outlineLevel="1" x14ac:dyDescent="0.25">
      <c r="A238" s="100">
        <f t="shared" si="284"/>
        <v>195</v>
      </c>
      <c r="B238" s="101" t="s">
        <v>20</v>
      </c>
      <c r="C238" s="102" t="s">
        <v>212</v>
      </c>
      <c r="D238" s="103" t="s">
        <v>19</v>
      </c>
      <c r="E238" s="104">
        <f t="shared" si="249"/>
        <v>105.75</v>
      </c>
      <c r="F238" s="105">
        <v>0</v>
      </c>
      <c r="G238" s="105">
        <f t="shared" si="252"/>
        <v>16.949152542372882</v>
      </c>
      <c r="H238" s="105">
        <v>20</v>
      </c>
      <c r="I238" s="105">
        <f t="shared" si="259"/>
        <v>0</v>
      </c>
      <c r="J238" s="104">
        <v>0</v>
      </c>
      <c r="K238" s="105">
        <f t="shared" si="253"/>
        <v>12.711864406779661</v>
      </c>
      <c r="L238" s="105">
        <v>15</v>
      </c>
      <c r="M238" s="105">
        <f t="shared" si="260"/>
        <v>0</v>
      </c>
      <c r="N238" s="106">
        <v>0</v>
      </c>
      <c r="O238" s="105">
        <f t="shared" si="261"/>
        <v>6.6101694915254239</v>
      </c>
      <c r="P238" s="105">
        <v>7.8</v>
      </c>
      <c r="Q238" s="105">
        <f t="shared" si="262"/>
        <v>0</v>
      </c>
      <c r="R238" s="104">
        <v>43.4</v>
      </c>
      <c r="S238" s="105">
        <f t="shared" si="263"/>
        <v>13.220338983050848</v>
      </c>
      <c r="T238" s="105">
        <v>15.6</v>
      </c>
      <c r="U238" s="105">
        <f t="shared" si="264"/>
        <v>677.04</v>
      </c>
      <c r="V238" s="105">
        <v>0</v>
      </c>
      <c r="W238" s="105">
        <f t="shared" si="285"/>
        <v>5.9322033898305087</v>
      </c>
      <c r="X238" s="105">
        <v>7</v>
      </c>
      <c r="Y238" s="105">
        <f t="shared" si="266"/>
        <v>0</v>
      </c>
      <c r="Z238" s="104">
        <f>4.6+4+44.2+3.8+4.25</f>
        <v>60.85</v>
      </c>
      <c r="AA238" s="105">
        <f t="shared" si="255"/>
        <v>5.5084745762711869</v>
      </c>
      <c r="AB238" s="105">
        <v>6.5</v>
      </c>
      <c r="AC238" s="105">
        <f t="shared" si="267"/>
        <v>395.52500000000003</v>
      </c>
      <c r="AD238" s="105">
        <v>0</v>
      </c>
      <c r="AE238" s="105">
        <f t="shared" si="256"/>
        <v>4.2372881355932206</v>
      </c>
      <c r="AF238" s="105">
        <v>5</v>
      </c>
      <c r="AG238" s="105">
        <f t="shared" si="268"/>
        <v>0</v>
      </c>
      <c r="AH238" s="106">
        <v>0</v>
      </c>
      <c r="AI238" s="105">
        <f t="shared" si="257"/>
        <v>9.3220338983050848</v>
      </c>
      <c r="AJ238" s="116">
        <v>11</v>
      </c>
      <c r="AK238" s="105">
        <f t="shared" si="269"/>
        <v>0</v>
      </c>
      <c r="AL238" s="106">
        <v>1.5</v>
      </c>
      <c r="AM238" s="105">
        <f t="shared" si="270"/>
        <v>12.711864406779661</v>
      </c>
      <c r="AN238" s="105">
        <v>15</v>
      </c>
      <c r="AO238" s="105">
        <f t="shared" si="271"/>
        <v>22.5</v>
      </c>
      <c r="AP238" s="105">
        <f t="shared" si="247"/>
        <v>928.02118644067809</v>
      </c>
      <c r="AQ238" s="105">
        <f t="shared" si="248"/>
        <v>1095.0650000000001</v>
      </c>
      <c r="AR238" s="106">
        <v>0</v>
      </c>
      <c r="AS238" s="105" t="s">
        <v>312</v>
      </c>
      <c r="AT238" s="107">
        <v>0</v>
      </c>
      <c r="AU238" s="107">
        <f t="shared" si="272"/>
        <v>5.0847457627118651</v>
      </c>
      <c r="AV238" s="107">
        <v>6</v>
      </c>
      <c r="AW238" s="107">
        <f t="shared" si="273"/>
        <v>0</v>
      </c>
      <c r="AX238" s="107">
        <f t="shared" si="277"/>
        <v>0</v>
      </c>
      <c r="AY238" s="108">
        <f t="shared" si="246"/>
        <v>928.02118644067809</v>
      </c>
      <c r="AZ238" s="109">
        <f t="shared" si="246"/>
        <v>1095.0650000000001</v>
      </c>
      <c r="BA238" s="9"/>
      <c r="BB238" s="9"/>
      <c r="BC238" s="9"/>
      <c r="BD238" s="9"/>
      <c r="BE238" s="45"/>
      <c r="BF238" s="45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</row>
    <row r="239" spans="1:93" s="4" customFormat="1" ht="274.5" outlineLevel="1" x14ac:dyDescent="0.25">
      <c r="A239" s="100">
        <f t="shared" si="284"/>
        <v>196</v>
      </c>
      <c r="B239" s="101" t="s">
        <v>20</v>
      </c>
      <c r="C239" s="102" t="s">
        <v>213</v>
      </c>
      <c r="D239" s="103" t="s">
        <v>19</v>
      </c>
      <c r="E239" s="104">
        <f t="shared" si="249"/>
        <v>134.75</v>
      </c>
      <c r="F239" s="105">
        <v>0</v>
      </c>
      <c r="G239" s="105">
        <f t="shared" si="252"/>
        <v>16.949152542372882</v>
      </c>
      <c r="H239" s="105">
        <v>20</v>
      </c>
      <c r="I239" s="105">
        <f t="shared" si="259"/>
        <v>0</v>
      </c>
      <c r="J239" s="104">
        <v>0</v>
      </c>
      <c r="K239" s="105">
        <f t="shared" si="253"/>
        <v>12.711864406779661</v>
      </c>
      <c r="L239" s="105">
        <v>15</v>
      </c>
      <c r="M239" s="105">
        <f t="shared" si="260"/>
        <v>0</v>
      </c>
      <c r="N239" s="106">
        <v>0</v>
      </c>
      <c r="O239" s="105">
        <f t="shared" si="261"/>
        <v>6.6101694915254239</v>
      </c>
      <c r="P239" s="105">
        <v>7.8</v>
      </c>
      <c r="Q239" s="105">
        <f t="shared" si="262"/>
        <v>0</v>
      </c>
      <c r="R239" s="104">
        <v>115.95</v>
      </c>
      <c r="S239" s="105">
        <f t="shared" si="263"/>
        <v>13.220338983050848</v>
      </c>
      <c r="T239" s="105">
        <v>15.6</v>
      </c>
      <c r="U239" s="105">
        <f t="shared" si="264"/>
        <v>1808.82</v>
      </c>
      <c r="V239" s="105">
        <v>0</v>
      </c>
      <c r="W239" s="105">
        <v>4.2</v>
      </c>
      <c r="X239" s="105">
        <v>7</v>
      </c>
      <c r="Y239" s="105">
        <f t="shared" si="266"/>
        <v>0</v>
      </c>
      <c r="Z239" s="104">
        <v>18.8</v>
      </c>
      <c r="AA239" s="105">
        <f t="shared" si="255"/>
        <v>5.5084745762711869</v>
      </c>
      <c r="AB239" s="105">
        <v>6.5</v>
      </c>
      <c r="AC239" s="105">
        <f t="shared" si="267"/>
        <v>122.2</v>
      </c>
      <c r="AD239" s="105">
        <v>0</v>
      </c>
      <c r="AE239" s="105">
        <f t="shared" si="256"/>
        <v>4.2372881355932206</v>
      </c>
      <c r="AF239" s="105">
        <v>5</v>
      </c>
      <c r="AG239" s="105">
        <f t="shared" si="268"/>
        <v>0</v>
      </c>
      <c r="AH239" s="106">
        <v>0</v>
      </c>
      <c r="AI239" s="105">
        <f t="shared" si="257"/>
        <v>9.3220338983050848</v>
      </c>
      <c r="AJ239" s="116">
        <v>11</v>
      </c>
      <c r="AK239" s="105">
        <f t="shared" si="269"/>
        <v>0</v>
      </c>
      <c r="AL239" s="106">
        <v>0</v>
      </c>
      <c r="AM239" s="105">
        <f t="shared" si="270"/>
        <v>12.711864406779661</v>
      </c>
      <c r="AN239" s="105">
        <v>15</v>
      </c>
      <c r="AO239" s="105">
        <f t="shared" si="271"/>
        <v>0</v>
      </c>
      <c r="AP239" s="105">
        <f t="shared" si="247"/>
        <v>1636.457627118644</v>
      </c>
      <c r="AQ239" s="105">
        <f t="shared" si="248"/>
        <v>1931.02</v>
      </c>
      <c r="AR239" s="106">
        <v>0</v>
      </c>
      <c r="AS239" s="105" t="s">
        <v>312</v>
      </c>
      <c r="AT239" s="107">
        <v>0</v>
      </c>
      <c r="AU239" s="107">
        <f t="shared" si="272"/>
        <v>5.0847457627118651</v>
      </c>
      <c r="AV239" s="107">
        <v>6</v>
      </c>
      <c r="AW239" s="107">
        <f t="shared" si="273"/>
        <v>0</v>
      </c>
      <c r="AX239" s="107">
        <f t="shared" si="277"/>
        <v>0</v>
      </c>
      <c r="AY239" s="108">
        <f t="shared" si="246"/>
        <v>1636.457627118644</v>
      </c>
      <c r="AZ239" s="109">
        <f t="shared" si="246"/>
        <v>1931.02</v>
      </c>
      <c r="BA239" s="9"/>
      <c r="BB239" s="9"/>
      <c r="BC239" s="9"/>
      <c r="BD239" s="9"/>
      <c r="BE239" s="45"/>
      <c r="BF239" s="45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</row>
    <row r="240" spans="1:93" s="4" customFormat="1" ht="228.75" outlineLevel="1" x14ac:dyDescent="0.25">
      <c r="A240" s="100">
        <f t="shared" si="284"/>
        <v>197</v>
      </c>
      <c r="B240" s="101" t="s">
        <v>20</v>
      </c>
      <c r="C240" s="102" t="s">
        <v>214</v>
      </c>
      <c r="D240" s="103" t="s">
        <v>19</v>
      </c>
      <c r="E240" s="104">
        <f t="shared" si="249"/>
        <v>123.4</v>
      </c>
      <c r="F240" s="105">
        <v>0</v>
      </c>
      <c r="G240" s="105">
        <f t="shared" si="252"/>
        <v>16.949152542372882</v>
      </c>
      <c r="H240" s="105">
        <v>20</v>
      </c>
      <c r="I240" s="105">
        <f t="shared" si="259"/>
        <v>0</v>
      </c>
      <c r="J240" s="104">
        <v>0</v>
      </c>
      <c r="K240" s="105">
        <f t="shared" si="253"/>
        <v>12.711864406779661</v>
      </c>
      <c r="L240" s="105">
        <v>15</v>
      </c>
      <c r="M240" s="105">
        <f t="shared" si="260"/>
        <v>0</v>
      </c>
      <c r="N240" s="106">
        <v>0</v>
      </c>
      <c r="O240" s="105">
        <f t="shared" si="261"/>
        <v>6.6101694915254239</v>
      </c>
      <c r="P240" s="105">
        <v>7.8</v>
      </c>
      <c r="Q240" s="105">
        <f t="shared" si="262"/>
        <v>0</v>
      </c>
      <c r="R240" s="104">
        <v>123.4</v>
      </c>
      <c r="S240" s="105">
        <f t="shared" si="263"/>
        <v>13.220338983050848</v>
      </c>
      <c r="T240" s="105">
        <v>15.6</v>
      </c>
      <c r="U240" s="105">
        <f t="shared" si="264"/>
        <v>1925.04</v>
      </c>
      <c r="V240" s="105">
        <v>0</v>
      </c>
      <c r="W240" s="105">
        <f t="shared" ref="W240:W242" si="286">X240/1.18</f>
        <v>5.9322033898305087</v>
      </c>
      <c r="X240" s="105">
        <v>7</v>
      </c>
      <c r="Y240" s="105">
        <f t="shared" si="266"/>
        <v>0</v>
      </c>
      <c r="Z240" s="104">
        <v>0</v>
      </c>
      <c r="AA240" s="105">
        <f t="shared" si="255"/>
        <v>5.5084745762711869</v>
      </c>
      <c r="AB240" s="105">
        <v>6.5</v>
      </c>
      <c r="AC240" s="105">
        <f t="shared" si="267"/>
        <v>0</v>
      </c>
      <c r="AD240" s="105">
        <v>0</v>
      </c>
      <c r="AE240" s="105">
        <f t="shared" si="256"/>
        <v>4.2372881355932206</v>
      </c>
      <c r="AF240" s="105">
        <v>5</v>
      </c>
      <c r="AG240" s="105">
        <f t="shared" si="268"/>
        <v>0</v>
      </c>
      <c r="AH240" s="106">
        <v>0</v>
      </c>
      <c r="AI240" s="105">
        <f t="shared" si="257"/>
        <v>9.3220338983050848</v>
      </c>
      <c r="AJ240" s="116">
        <v>11</v>
      </c>
      <c r="AK240" s="105">
        <f t="shared" si="269"/>
        <v>0</v>
      </c>
      <c r="AL240" s="106">
        <v>0</v>
      </c>
      <c r="AM240" s="105">
        <f t="shared" si="270"/>
        <v>12.711864406779661</v>
      </c>
      <c r="AN240" s="105">
        <v>15</v>
      </c>
      <c r="AO240" s="105">
        <f t="shared" si="271"/>
        <v>0</v>
      </c>
      <c r="AP240" s="105">
        <f t="shared" si="247"/>
        <v>1631.3898305084747</v>
      </c>
      <c r="AQ240" s="105">
        <f t="shared" si="248"/>
        <v>1925.04</v>
      </c>
      <c r="AR240" s="106">
        <v>0</v>
      </c>
      <c r="AS240" s="105" t="s">
        <v>312</v>
      </c>
      <c r="AT240" s="107">
        <v>0</v>
      </c>
      <c r="AU240" s="107">
        <f t="shared" si="272"/>
        <v>5.0847457627118651</v>
      </c>
      <c r="AV240" s="107">
        <v>6</v>
      </c>
      <c r="AW240" s="107">
        <f t="shared" si="273"/>
        <v>0</v>
      </c>
      <c r="AX240" s="107">
        <f t="shared" si="277"/>
        <v>0</v>
      </c>
      <c r="AY240" s="108">
        <f t="shared" si="246"/>
        <v>1631.3898305084747</v>
      </c>
      <c r="AZ240" s="109">
        <f t="shared" si="246"/>
        <v>1925.04</v>
      </c>
      <c r="BA240" s="9"/>
      <c r="BB240" s="9"/>
      <c r="BC240" s="9"/>
      <c r="BD240" s="9"/>
      <c r="BE240" s="45"/>
      <c r="BF240" s="45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</row>
    <row r="241" spans="1:93" s="4" customFormat="1" ht="366" outlineLevel="1" x14ac:dyDescent="0.25">
      <c r="A241" s="100">
        <f t="shared" si="284"/>
        <v>198</v>
      </c>
      <c r="B241" s="101" t="s">
        <v>20</v>
      </c>
      <c r="C241" s="102" t="s">
        <v>215</v>
      </c>
      <c r="D241" s="103" t="s">
        <v>19</v>
      </c>
      <c r="E241" s="104">
        <f t="shared" si="249"/>
        <v>35.1</v>
      </c>
      <c r="F241" s="105">
        <v>0</v>
      </c>
      <c r="G241" s="105">
        <f t="shared" si="252"/>
        <v>16.949152542372882</v>
      </c>
      <c r="H241" s="105">
        <v>20</v>
      </c>
      <c r="I241" s="105">
        <f t="shared" si="259"/>
        <v>0</v>
      </c>
      <c r="J241" s="104">
        <v>0</v>
      </c>
      <c r="K241" s="105">
        <f t="shared" si="253"/>
        <v>12.711864406779661</v>
      </c>
      <c r="L241" s="105">
        <v>15</v>
      </c>
      <c r="M241" s="105">
        <f t="shared" si="260"/>
        <v>0</v>
      </c>
      <c r="N241" s="106">
        <v>0</v>
      </c>
      <c r="O241" s="105">
        <f t="shared" si="261"/>
        <v>6.6101694915254239</v>
      </c>
      <c r="P241" s="105">
        <v>7.8</v>
      </c>
      <c r="Q241" s="105">
        <f t="shared" si="262"/>
        <v>0</v>
      </c>
      <c r="R241" s="117">
        <v>35.1</v>
      </c>
      <c r="S241" s="105">
        <f t="shared" si="263"/>
        <v>13.220338983050848</v>
      </c>
      <c r="T241" s="105">
        <v>15.6</v>
      </c>
      <c r="U241" s="105">
        <f t="shared" si="264"/>
        <v>547.56000000000006</v>
      </c>
      <c r="V241" s="105">
        <v>0</v>
      </c>
      <c r="W241" s="105">
        <f t="shared" si="286"/>
        <v>5.9322033898305087</v>
      </c>
      <c r="X241" s="105">
        <v>7</v>
      </c>
      <c r="Y241" s="105">
        <f t="shared" si="266"/>
        <v>0</v>
      </c>
      <c r="Z241" s="104">
        <v>0</v>
      </c>
      <c r="AA241" s="105">
        <f t="shared" si="255"/>
        <v>5.5084745762711869</v>
      </c>
      <c r="AB241" s="105">
        <v>6.5</v>
      </c>
      <c r="AC241" s="105">
        <f t="shared" si="267"/>
        <v>0</v>
      </c>
      <c r="AD241" s="105">
        <v>0</v>
      </c>
      <c r="AE241" s="105">
        <f t="shared" si="256"/>
        <v>4.2372881355932206</v>
      </c>
      <c r="AF241" s="105">
        <v>5</v>
      </c>
      <c r="AG241" s="105">
        <f t="shared" si="268"/>
        <v>0</v>
      </c>
      <c r="AH241" s="106">
        <v>0</v>
      </c>
      <c r="AI241" s="105">
        <f t="shared" si="257"/>
        <v>9.3220338983050848</v>
      </c>
      <c r="AJ241" s="116">
        <v>11</v>
      </c>
      <c r="AK241" s="105">
        <f t="shared" si="269"/>
        <v>0</v>
      </c>
      <c r="AL241" s="106">
        <v>0</v>
      </c>
      <c r="AM241" s="105">
        <f t="shared" si="270"/>
        <v>12.711864406779661</v>
      </c>
      <c r="AN241" s="105">
        <v>15</v>
      </c>
      <c r="AO241" s="105">
        <f t="shared" si="271"/>
        <v>0</v>
      </c>
      <c r="AP241" s="105">
        <f t="shared" si="247"/>
        <v>464.03389830508485</v>
      </c>
      <c r="AQ241" s="105">
        <f t="shared" si="248"/>
        <v>547.56000000000006</v>
      </c>
      <c r="AR241" s="106">
        <v>0</v>
      </c>
      <c r="AS241" s="105" t="s">
        <v>312</v>
      </c>
      <c r="AT241" s="107">
        <v>0</v>
      </c>
      <c r="AU241" s="107">
        <f t="shared" si="272"/>
        <v>5.0847457627118651</v>
      </c>
      <c r="AV241" s="107">
        <v>6</v>
      </c>
      <c r="AW241" s="107">
        <f t="shared" si="273"/>
        <v>0</v>
      </c>
      <c r="AX241" s="107">
        <f t="shared" si="277"/>
        <v>0</v>
      </c>
      <c r="AY241" s="108">
        <f t="shared" si="246"/>
        <v>464.03389830508485</v>
      </c>
      <c r="AZ241" s="109">
        <f t="shared" si="246"/>
        <v>547.56000000000006</v>
      </c>
      <c r="BA241" s="9"/>
      <c r="BB241" s="9"/>
      <c r="BC241" s="9"/>
      <c r="BD241" s="9"/>
      <c r="BE241" s="45"/>
      <c r="BF241" s="45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</row>
    <row r="242" spans="1:93" s="4" customFormat="1" ht="228.75" outlineLevel="1" x14ac:dyDescent="0.25">
      <c r="A242" s="100">
        <f t="shared" si="284"/>
        <v>199</v>
      </c>
      <c r="B242" s="101" t="s">
        <v>20</v>
      </c>
      <c r="C242" s="102" t="s">
        <v>216</v>
      </c>
      <c r="D242" s="103" t="s">
        <v>19</v>
      </c>
      <c r="E242" s="104">
        <f t="shared" si="249"/>
        <v>45</v>
      </c>
      <c r="F242" s="105">
        <v>0</v>
      </c>
      <c r="G242" s="105">
        <f t="shared" si="252"/>
        <v>16.949152542372882</v>
      </c>
      <c r="H242" s="105">
        <v>20</v>
      </c>
      <c r="I242" s="105">
        <f t="shared" si="259"/>
        <v>0</v>
      </c>
      <c r="J242" s="104">
        <v>0</v>
      </c>
      <c r="K242" s="105">
        <f t="shared" si="253"/>
        <v>12.711864406779661</v>
      </c>
      <c r="L242" s="105">
        <v>15</v>
      </c>
      <c r="M242" s="105">
        <f t="shared" si="260"/>
        <v>0</v>
      </c>
      <c r="N242" s="106">
        <v>0</v>
      </c>
      <c r="O242" s="105">
        <f t="shared" si="261"/>
        <v>6.6101694915254239</v>
      </c>
      <c r="P242" s="105">
        <v>7.8</v>
      </c>
      <c r="Q242" s="105">
        <f t="shared" si="262"/>
        <v>0</v>
      </c>
      <c r="R242" s="104">
        <v>45</v>
      </c>
      <c r="S242" s="105">
        <f t="shared" si="263"/>
        <v>13.220338983050848</v>
      </c>
      <c r="T242" s="105">
        <v>15.6</v>
      </c>
      <c r="U242" s="105">
        <f t="shared" si="264"/>
        <v>702</v>
      </c>
      <c r="V242" s="105">
        <v>0</v>
      </c>
      <c r="W242" s="105">
        <f t="shared" si="286"/>
        <v>5.9322033898305087</v>
      </c>
      <c r="X242" s="105">
        <v>7</v>
      </c>
      <c r="Y242" s="105">
        <f t="shared" si="266"/>
        <v>0</v>
      </c>
      <c r="Z242" s="104">
        <v>0</v>
      </c>
      <c r="AA242" s="105">
        <f t="shared" si="255"/>
        <v>5.5084745762711869</v>
      </c>
      <c r="AB242" s="105">
        <v>6.5</v>
      </c>
      <c r="AC242" s="105">
        <f t="shared" si="267"/>
        <v>0</v>
      </c>
      <c r="AD242" s="105">
        <v>0</v>
      </c>
      <c r="AE242" s="105">
        <f t="shared" si="256"/>
        <v>4.2372881355932206</v>
      </c>
      <c r="AF242" s="105">
        <v>5</v>
      </c>
      <c r="AG242" s="105">
        <f t="shared" si="268"/>
        <v>0</v>
      </c>
      <c r="AH242" s="106">
        <v>0</v>
      </c>
      <c r="AI242" s="105">
        <f t="shared" si="257"/>
        <v>9.3220338983050848</v>
      </c>
      <c r="AJ242" s="116">
        <v>11</v>
      </c>
      <c r="AK242" s="105">
        <f t="shared" si="269"/>
        <v>0</v>
      </c>
      <c r="AL242" s="106">
        <v>0</v>
      </c>
      <c r="AM242" s="105">
        <f t="shared" si="270"/>
        <v>12.711864406779661</v>
      </c>
      <c r="AN242" s="105">
        <v>15</v>
      </c>
      <c r="AO242" s="105">
        <f t="shared" si="271"/>
        <v>0</v>
      </c>
      <c r="AP242" s="105">
        <f t="shared" si="247"/>
        <v>594.9152542372882</v>
      </c>
      <c r="AQ242" s="105">
        <f t="shared" si="248"/>
        <v>702</v>
      </c>
      <c r="AR242" s="106">
        <v>0</v>
      </c>
      <c r="AS242" s="105" t="s">
        <v>312</v>
      </c>
      <c r="AT242" s="107">
        <v>0</v>
      </c>
      <c r="AU242" s="107">
        <f t="shared" si="272"/>
        <v>5.0847457627118651</v>
      </c>
      <c r="AV242" s="107">
        <v>6</v>
      </c>
      <c r="AW242" s="107">
        <f t="shared" si="273"/>
        <v>0</v>
      </c>
      <c r="AX242" s="107">
        <f t="shared" si="277"/>
        <v>0</v>
      </c>
      <c r="AY242" s="108">
        <f t="shared" si="246"/>
        <v>594.9152542372882</v>
      </c>
      <c r="AZ242" s="109">
        <f t="shared" si="246"/>
        <v>702</v>
      </c>
      <c r="BA242" s="9"/>
      <c r="BB242" s="9"/>
      <c r="BC242" s="9"/>
      <c r="BD242" s="9"/>
      <c r="BE242" s="45"/>
      <c r="BF242" s="45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</row>
    <row r="243" spans="1:93" s="4" customFormat="1" ht="228.75" outlineLevel="1" x14ac:dyDescent="0.25">
      <c r="A243" s="100">
        <f t="shared" si="284"/>
        <v>200</v>
      </c>
      <c r="B243" s="101" t="s">
        <v>20</v>
      </c>
      <c r="C243" s="102" t="s">
        <v>217</v>
      </c>
      <c r="D243" s="103" t="s">
        <v>19</v>
      </c>
      <c r="E243" s="104">
        <f t="shared" si="249"/>
        <v>33.200000000000003</v>
      </c>
      <c r="F243" s="105">
        <v>0</v>
      </c>
      <c r="G243" s="105">
        <f t="shared" si="252"/>
        <v>16.949152542372882</v>
      </c>
      <c r="H243" s="105">
        <v>20</v>
      </c>
      <c r="I243" s="105">
        <f t="shared" si="259"/>
        <v>0</v>
      </c>
      <c r="J243" s="104">
        <v>0</v>
      </c>
      <c r="K243" s="105">
        <f t="shared" si="253"/>
        <v>12.711864406779661</v>
      </c>
      <c r="L243" s="105">
        <v>15</v>
      </c>
      <c r="M243" s="105">
        <f t="shared" si="260"/>
        <v>0</v>
      </c>
      <c r="N243" s="106">
        <v>0</v>
      </c>
      <c r="O243" s="105">
        <f t="shared" si="261"/>
        <v>6.6101694915254239</v>
      </c>
      <c r="P243" s="105">
        <v>7.8</v>
      </c>
      <c r="Q243" s="105">
        <f t="shared" si="262"/>
        <v>0</v>
      </c>
      <c r="R243" s="104">
        <v>33.200000000000003</v>
      </c>
      <c r="S243" s="105">
        <f t="shared" si="263"/>
        <v>13.220338983050848</v>
      </c>
      <c r="T243" s="105">
        <v>15.6</v>
      </c>
      <c r="U243" s="105">
        <f t="shared" si="264"/>
        <v>517.92000000000007</v>
      </c>
      <c r="V243" s="105">
        <v>0</v>
      </c>
      <c r="W243" s="105">
        <v>4.2</v>
      </c>
      <c r="X243" s="105">
        <v>7</v>
      </c>
      <c r="Y243" s="105">
        <f t="shared" si="266"/>
        <v>0</v>
      </c>
      <c r="Z243" s="104">
        <v>0</v>
      </c>
      <c r="AA243" s="105">
        <f t="shared" si="255"/>
        <v>5.5084745762711869</v>
      </c>
      <c r="AB243" s="105">
        <v>6.5</v>
      </c>
      <c r="AC243" s="105">
        <f t="shared" si="267"/>
        <v>0</v>
      </c>
      <c r="AD243" s="105">
        <v>0</v>
      </c>
      <c r="AE243" s="105">
        <f t="shared" si="256"/>
        <v>4.2372881355932206</v>
      </c>
      <c r="AF243" s="105">
        <v>5</v>
      </c>
      <c r="AG243" s="105">
        <f t="shared" si="268"/>
        <v>0</v>
      </c>
      <c r="AH243" s="106">
        <v>0</v>
      </c>
      <c r="AI243" s="105">
        <f t="shared" si="257"/>
        <v>9.3220338983050848</v>
      </c>
      <c r="AJ243" s="116">
        <v>11</v>
      </c>
      <c r="AK243" s="105">
        <f t="shared" si="269"/>
        <v>0</v>
      </c>
      <c r="AL243" s="106">
        <v>0</v>
      </c>
      <c r="AM243" s="105">
        <f t="shared" si="270"/>
        <v>12.711864406779661</v>
      </c>
      <c r="AN243" s="105">
        <v>15</v>
      </c>
      <c r="AO243" s="105">
        <f t="shared" si="271"/>
        <v>0</v>
      </c>
      <c r="AP243" s="105">
        <f t="shared" si="247"/>
        <v>438.9152542372882</v>
      </c>
      <c r="AQ243" s="105">
        <f t="shared" si="248"/>
        <v>517.92000000000007</v>
      </c>
      <c r="AR243" s="106">
        <v>0</v>
      </c>
      <c r="AS243" s="105" t="s">
        <v>312</v>
      </c>
      <c r="AT243" s="107">
        <v>0</v>
      </c>
      <c r="AU243" s="107">
        <f t="shared" si="272"/>
        <v>5.0847457627118651</v>
      </c>
      <c r="AV243" s="107">
        <v>6</v>
      </c>
      <c r="AW243" s="107">
        <f t="shared" si="273"/>
        <v>0</v>
      </c>
      <c r="AX243" s="107">
        <f t="shared" si="277"/>
        <v>0</v>
      </c>
      <c r="AY243" s="108">
        <f t="shared" si="246"/>
        <v>438.9152542372882</v>
      </c>
      <c r="AZ243" s="109">
        <f t="shared" si="246"/>
        <v>517.92000000000007</v>
      </c>
      <c r="BA243" s="9"/>
      <c r="BB243" s="9"/>
      <c r="BC243" s="9"/>
      <c r="BD243" s="9"/>
      <c r="BE243" s="45"/>
      <c r="BF243" s="45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</row>
    <row r="244" spans="1:93" s="4" customFormat="1" ht="274.5" outlineLevel="1" x14ac:dyDescent="0.25">
      <c r="A244" s="100">
        <f t="shared" si="284"/>
        <v>201</v>
      </c>
      <c r="B244" s="101" t="s">
        <v>20</v>
      </c>
      <c r="C244" s="102" t="s">
        <v>218</v>
      </c>
      <c r="D244" s="103" t="s">
        <v>19</v>
      </c>
      <c r="E244" s="104">
        <f t="shared" si="249"/>
        <v>30.9</v>
      </c>
      <c r="F244" s="105">
        <v>0</v>
      </c>
      <c r="G244" s="105">
        <f t="shared" si="252"/>
        <v>16.949152542372882</v>
      </c>
      <c r="H244" s="105">
        <v>20</v>
      </c>
      <c r="I244" s="105">
        <f t="shared" si="259"/>
        <v>0</v>
      </c>
      <c r="J244" s="104">
        <v>0</v>
      </c>
      <c r="K244" s="105">
        <f t="shared" si="253"/>
        <v>12.711864406779661</v>
      </c>
      <c r="L244" s="105">
        <v>15</v>
      </c>
      <c r="M244" s="105">
        <f t="shared" si="260"/>
        <v>0</v>
      </c>
      <c r="N244" s="106">
        <v>0</v>
      </c>
      <c r="O244" s="105">
        <f t="shared" si="261"/>
        <v>6.6101694915254239</v>
      </c>
      <c r="P244" s="105">
        <v>7.8</v>
      </c>
      <c r="Q244" s="105">
        <f t="shared" si="262"/>
        <v>0</v>
      </c>
      <c r="R244" s="104">
        <v>30.9</v>
      </c>
      <c r="S244" s="105">
        <f t="shared" si="263"/>
        <v>13.220338983050848</v>
      </c>
      <c r="T244" s="105">
        <v>15.6</v>
      </c>
      <c r="U244" s="105">
        <f t="shared" si="264"/>
        <v>482.03999999999996</v>
      </c>
      <c r="V244" s="105">
        <v>0</v>
      </c>
      <c r="W244" s="105">
        <f t="shared" ref="W244:W246" si="287">X244/1.18</f>
        <v>5.9322033898305087</v>
      </c>
      <c r="X244" s="105">
        <v>7</v>
      </c>
      <c r="Y244" s="105">
        <f t="shared" si="266"/>
        <v>0</v>
      </c>
      <c r="Z244" s="104">
        <v>0</v>
      </c>
      <c r="AA244" s="105">
        <f t="shared" si="255"/>
        <v>5.5084745762711869</v>
      </c>
      <c r="AB244" s="105">
        <v>6.5</v>
      </c>
      <c r="AC244" s="105">
        <f t="shared" si="267"/>
        <v>0</v>
      </c>
      <c r="AD244" s="105">
        <v>0</v>
      </c>
      <c r="AE244" s="105">
        <f t="shared" si="256"/>
        <v>4.2372881355932206</v>
      </c>
      <c r="AF244" s="105">
        <v>5</v>
      </c>
      <c r="AG244" s="105">
        <f t="shared" si="268"/>
        <v>0</v>
      </c>
      <c r="AH244" s="106">
        <v>0</v>
      </c>
      <c r="AI244" s="105">
        <f t="shared" si="257"/>
        <v>9.3220338983050848</v>
      </c>
      <c r="AJ244" s="116">
        <v>11</v>
      </c>
      <c r="AK244" s="105">
        <f t="shared" si="269"/>
        <v>0</v>
      </c>
      <c r="AL244" s="106">
        <v>0</v>
      </c>
      <c r="AM244" s="105">
        <f t="shared" si="270"/>
        <v>12.711864406779661</v>
      </c>
      <c r="AN244" s="105">
        <v>15</v>
      </c>
      <c r="AO244" s="105">
        <f t="shared" si="271"/>
        <v>0</v>
      </c>
      <c r="AP244" s="105">
        <f t="shared" si="247"/>
        <v>408.50847457627117</v>
      </c>
      <c r="AQ244" s="105">
        <f t="shared" si="248"/>
        <v>482.03999999999996</v>
      </c>
      <c r="AR244" s="106">
        <v>0</v>
      </c>
      <c r="AS244" s="105" t="s">
        <v>312</v>
      </c>
      <c r="AT244" s="107">
        <v>0</v>
      </c>
      <c r="AU244" s="107">
        <f t="shared" si="272"/>
        <v>5.0847457627118651</v>
      </c>
      <c r="AV244" s="107">
        <v>6</v>
      </c>
      <c r="AW244" s="107">
        <f t="shared" si="273"/>
        <v>0</v>
      </c>
      <c r="AX244" s="107">
        <f t="shared" si="277"/>
        <v>0</v>
      </c>
      <c r="AY244" s="108">
        <f t="shared" si="246"/>
        <v>408.50847457627117</v>
      </c>
      <c r="AZ244" s="109">
        <f t="shared" si="246"/>
        <v>482.03999999999996</v>
      </c>
      <c r="BA244" s="9"/>
      <c r="BB244" s="9"/>
      <c r="BC244" s="9"/>
      <c r="BD244" s="9"/>
      <c r="BE244" s="45"/>
      <c r="BF244" s="45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</row>
    <row r="245" spans="1:93" s="4" customFormat="1" ht="320.25" outlineLevel="1" x14ac:dyDescent="0.25">
      <c r="A245" s="100">
        <f t="shared" si="284"/>
        <v>202</v>
      </c>
      <c r="B245" s="101" t="s">
        <v>20</v>
      </c>
      <c r="C245" s="102" t="s">
        <v>223</v>
      </c>
      <c r="D245" s="103" t="s">
        <v>19</v>
      </c>
      <c r="E245" s="104">
        <f t="shared" si="249"/>
        <v>75.099999999999994</v>
      </c>
      <c r="F245" s="105">
        <v>0</v>
      </c>
      <c r="G245" s="105">
        <f t="shared" si="252"/>
        <v>16.949152542372882</v>
      </c>
      <c r="H245" s="105">
        <v>20</v>
      </c>
      <c r="I245" s="105">
        <f t="shared" si="259"/>
        <v>0</v>
      </c>
      <c r="J245" s="104">
        <v>0</v>
      </c>
      <c r="K245" s="105">
        <f t="shared" si="253"/>
        <v>12.711864406779661</v>
      </c>
      <c r="L245" s="105">
        <v>15</v>
      </c>
      <c r="M245" s="105">
        <f t="shared" si="260"/>
        <v>0</v>
      </c>
      <c r="N245" s="106">
        <v>0</v>
      </c>
      <c r="O245" s="105">
        <f t="shared" si="261"/>
        <v>6.6101694915254239</v>
      </c>
      <c r="P245" s="105">
        <v>7.8</v>
      </c>
      <c r="Q245" s="105">
        <f t="shared" si="262"/>
        <v>0</v>
      </c>
      <c r="R245" s="104">
        <v>4.8</v>
      </c>
      <c r="S245" s="105">
        <f t="shared" si="263"/>
        <v>13.220338983050848</v>
      </c>
      <c r="T245" s="105">
        <v>15.6</v>
      </c>
      <c r="U245" s="105">
        <f t="shared" si="264"/>
        <v>74.88</v>
      </c>
      <c r="V245" s="105">
        <v>0</v>
      </c>
      <c r="W245" s="105">
        <f t="shared" si="287"/>
        <v>5.9322033898305087</v>
      </c>
      <c r="X245" s="105">
        <v>7</v>
      </c>
      <c r="Y245" s="105">
        <f t="shared" si="266"/>
        <v>0</v>
      </c>
      <c r="Z245" s="104">
        <v>57.4</v>
      </c>
      <c r="AA245" s="105">
        <f t="shared" si="255"/>
        <v>5.5084745762711869</v>
      </c>
      <c r="AB245" s="105">
        <v>6.5</v>
      </c>
      <c r="AC245" s="105">
        <f t="shared" si="267"/>
        <v>373.09999999999997</v>
      </c>
      <c r="AD245" s="105">
        <v>0</v>
      </c>
      <c r="AE245" s="105">
        <f t="shared" si="256"/>
        <v>4.2372881355932206</v>
      </c>
      <c r="AF245" s="105">
        <v>5</v>
      </c>
      <c r="AG245" s="105">
        <f t="shared" si="268"/>
        <v>0</v>
      </c>
      <c r="AH245" s="106">
        <v>0</v>
      </c>
      <c r="AI245" s="105">
        <f t="shared" si="257"/>
        <v>9.3220338983050848</v>
      </c>
      <c r="AJ245" s="116">
        <v>11</v>
      </c>
      <c r="AK245" s="105">
        <f t="shared" si="269"/>
        <v>0</v>
      </c>
      <c r="AL245" s="106">
        <v>12.9</v>
      </c>
      <c r="AM245" s="105">
        <f t="shared" si="270"/>
        <v>12.711864406779661</v>
      </c>
      <c r="AN245" s="105">
        <v>15</v>
      </c>
      <c r="AO245" s="105">
        <f t="shared" si="271"/>
        <v>193.5</v>
      </c>
      <c r="AP245" s="105">
        <f t="shared" si="247"/>
        <v>543.62711864406788</v>
      </c>
      <c r="AQ245" s="105">
        <f t="shared" si="248"/>
        <v>641.48</v>
      </c>
      <c r="AR245" s="106">
        <v>0</v>
      </c>
      <c r="AS245" s="105" t="s">
        <v>312</v>
      </c>
      <c r="AT245" s="107">
        <v>0</v>
      </c>
      <c r="AU245" s="107">
        <f t="shared" si="272"/>
        <v>5.0847457627118651</v>
      </c>
      <c r="AV245" s="107">
        <v>6</v>
      </c>
      <c r="AW245" s="107">
        <f t="shared" si="273"/>
        <v>0</v>
      </c>
      <c r="AX245" s="107">
        <f t="shared" si="277"/>
        <v>0</v>
      </c>
      <c r="AY245" s="108">
        <f t="shared" si="246"/>
        <v>543.62711864406788</v>
      </c>
      <c r="AZ245" s="109">
        <f t="shared" si="246"/>
        <v>641.48</v>
      </c>
      <c r="BA245" s="9"/>
      <c r="BB245" s="9"/>
      <c r="BC245" s="9"/>
      <c r="BD245" s="9"/>
      <c r="BE245" s="45"/>
      <c r="BF245" s="45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</row>
    <row r="246" spans="1:93" s="4" customFormat="1" ht="320.25" outlineLevel="1" x14ac:dyDescent="0.25">
      <c r="A246" s="100">
        <f t="shared" si="284"/>
        <v>203</v>
      </c>
      <c r="B246" s="101" t="s">
        <v>20</v>
      </c>
      <c r="C246" s="102" t="s">
        <v>219</v>
      </c>
      <c r="D246" s="103" t="s">
        <v>19</v>
      </c>
      <c r="E246" s="104">
        <f t="shared" si="249"/>
        <v>50.3</v>
      </c>
      <c r="F246" s="105">
        <v>0</v>
      </c>
      <c r="G246" s="105">
        <f t="shared" si="252"/>
        <v>16.949152542372882</v>
      </c>
      <c r="H246" s="105">
        <v>20</v>
      </c>
      <c r="I246" s="105">
        <f t="shared" si="259"/>
        <v>0</v>
      </c>
      <c r="J246" s="104">
        <v>0</v>
      </c>
      <c r="K246" s="105">
        <f t="shared" si="253"/>
        <v>12.711864406779661</v>
      </c>
      <c r="L246" s="105">
        <v>15</v>
      </c>
      <c r="M246" s="105">
        <f t="shared" si="260"/>
        <v>0</v>
      </c>
      <c r="N246" s="106">
        <v>0</v>
      </c>
      <c r="O246" s="105">
        <f t="shared" si="261"/>
        <v>6.6101694915254239</v>
      </c>
      <c r="P246" s="105">
        <v>7.8</v>
      </c>
      <c r="Q246" s="105">
        <f t="shared" si="262"/>
        <v>0</v>
      </c>
      <c r="R246" s="104">
        <v>50.3</v>
      </c>
      <c r="S246" s="105">
        <f t="shared" si="263"/>
        <v>13.220338983050848</v>
      </c>
      <c r="T246" s="105">
        <v>15.6</v>
      </c>
      <c r="U246" s="105">
        <f t="shared" si="264"/>
        <v>784.68</v>
      </c>
      <c r="V246" s="105">
        <v>0</v>
      </c>
      <c r="W246" s="105">
        <f t="shared" si="287"/>
        <v>5.9322033898305087</v>
      </c>
      <c r="X246" s="105">
        <v>7</v>
      </c>
      <c r="Y246" s="105">
        <f t="shared" si="266"/>
        <v>0</v>
      </c>
      <c r="Z246" s="104">
        <v>0</v>
      </c>
      <c r="AA246" s="105">
        <f t="shared" si="255"/>
        <v>5.5084745762711869</v>
      </c>
      <c r="AB246" s="105">
        <v>6.5</v>
      </c>
      <c r="AC246" s="105">
        <f t="shared" si="267"/>
        <v>0</v>
      </c>
      <c r="AD246" s="105">
        <v>0</v>
      </c>
      <c r="AE246" s="105">
        <f t="shared" si="256"/>
        <v>4.2372881355932206</v>
      </c>
      <c r="AF246" s="105">
        <v>5</v>
      </c>
      <c r="AG246" s="105">
        <f t="shared" si="268"/>
        <v>0</v>
      </c>
      <c r="AH246" s="106">
        <v>0</v>
      </c>
      <c r="AI246" s="105">
        <f t="shared" si="257"/>
        <v>9.3220338983050848</v>
      </c>
      <c r="AJ246" s="116">
        <v>11</v>
      </c>
      <c r="AK246" s="105">
        <f t="shared" si="269"/>
        <v>0</v>
      </c>
      <c r="AL246" s="106">
        <v>0</v>
      </c>
      <c r="AM246" s="105">
        <f t="shared" si="270"/>
        <v>12.711864406779661</v>
      </c>
      <c r="AN246" s="105">
        <v>15</v>
      </c>
      <c r="AO246" s="105">
        <f t="shared" si="271"/>
        <v>0</v>
      </c>
      <c r="AP246" s="105">
        <f t="shared" si="247"/>
        <v>664.98305084745766</v>
      </c>
      <c r="AQ246" s="105">
        <f t="shared" si="248"/>
        <v>784.68</v>
      </c>
      <c r="AR246" s="106">
        <v>0</v>
      </c>
      <c r="AS246" s="105" t="s">
        <v>312</v>
      </c>
      <c r="AT246" s="107">
        <v>0</v>
      </c>
      <c r="AU246" s="107">
        <f t="shared" si="272"/>
        <v>5.0847457627118651</v>
      </c>
      <c r="AV246" s="107">
        <v>6</v>
      </c>
      <c r="AW246" s="107">
        <f t="shared" si="273"/>
        <v>0</v>
      </c>
      <c r="AX246" s="107">
        <f t="shared" si="277"/>
        <v>0</v>
      </c>
      <c r="AY246" s="108">
        <f t="shared" si="246"/>
        <v>664.98305084745766</v>
      </c>
      <c r="AZ246" s="109">
        <f t="shared" si="246"/>
        <v>784.68</v>
      </c>
      <c r="BA246" s="9"/>
      <c r="BB246" s="9"/>
      <c r="BC246" s="9"/>
      <c r="BD246" s="9"/>
      <c r="BE246" s="45"/>
      <c r="BF246" s="45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</row>
    <row r="247" spans="1:93" s="4" customFormat="1" ht="228.75" outlineLevel="1" x14ac:dyDescent="0.25">
      <c r="A247" s="100">
        <f t="shared" si="284"/>
        <v>204</v>
      </c>
      <c r="B247" s="101" t="s">
        <v>257</v>
      </c>
      <c r="C247" s="102" t="s">
        <v>220</v>
      </c>
      <c r="D247" s="103" t="s">
        <v>19</v>
      </c>
      <c r="E247" s="104">
        <f t="shared" si="249"/>
        <v>47</v>
      </c>
      <c r="F247" s="105">
        <v>0</v>
      </c>
      <c r="G247" s="105">
        <f t="shared" si="252"/>
        <v>16.949152542372882</v>
      </c>
      <c r="H247" s="105">
        <v>20</v>
      </c>
      <c r="I247" s="105">
        <f t="shared" si="259"/>
        <v>0</v>
      </c>
      <c r="J247" s="104">
        <v>0</v>
      </c>
      <c r="K247" s="105">
        <f t="shared" si="253"/>
        <v>12.711864406779661</v>
      </c>
      <c r="L247" s="105">
        <v>15</v>
      </c>
      <c r="M247" s="105">
        <f t="shared" si="260"/>
        <v>0</v>
      </c>
      <c r="N247" s="106">
        <v>0</v>
      </c>
      <c r="O247" s="105">
        <f t="shared" si="261"/>
        <v>6.6101694915254239</v>
      </c>
      <c r="P247" s="105">
        <v>7.8</v>
      </c>
      <c r="Q247" s="105">
        <f t="shared" si="262"/>
        <v>0</v>
      </c>
      <c r="R247" s="104">
        <v>9</v>
      </c>
      <c r="S247" s="105">
        <f t="shared" si="263"/>
        <v>13.220338983050848</v>
      </c>
      <c r="T247" s="105">
        <v>15.6</v>
      </c>
      <c r="U247" s="105">
        <f t="shared" si="264"/>
        <v>140.4</v>
      </c>
      <c r="V247" s="105">
        <v>0</v>
      </c>
      <c r="W247" s="105">
        <v>4.2</v>
      </c>
      <c r="X247" s="105">
        <v>7</v>
      </c>
      <c r="Y247" s="105">
        <f t="shared" si="266"/>
        <v>0</v>
      </c>
      <c r="Z247" s="104">
        <v>35</v>
      </c>
      <c r="AA247" s="105">
        <f t="shared" si="255"/>
        <v>5.5084745762711869</v>
      </c>
      <c r="AB247" s="105">
        <v>6.5</v>
      </c>
      <c r="AC247" s="105">
        <f t="shared" si="267"/>
        <v>227.5</v>
      </c>
      <c r="AD247" s="105">
        <v>0</v>
      </c>
      <c r="AE247" s="105">
        <f t="shared" si="256"/>
        <v>4.2372881355932206</v>
      </c>
      <c r="AF247" s="105">
        <v>5</v>
      </c>
      <c r="AG247" s="105">
        <f t="shared" si="268"/>
        <v>0</v>
      </c>
      <c r="AH247" s="106">
        <v>0</v>
      </c>
      <c r="AI247" s="105">
        <f t="shared" si="257"/>
        <v>9.3220338983050848</v>
      </c>
      <c r="AJ247" s="116">
        <v>11</v>
      </c>
      <c r="AK247" s="105">
        <f t="shared" si="269"/>
        <v>0</v>
      </c>
      <c r="AL247" s="106">
        <v>3</v>
      </c>
      <c r="AM247" s="105">
        <f t="shared" si="270"/>
        <v>12.711864406779661</v>
      </c>
      <c r="AN247" s="105">
        <v>15</v>
      </c>
      <c r="AO247" s="105">
        <f t="shared" si="271"/>
        <v>45</v>
      </c>
      <c r="AP247" s="105">
        <f t="shared" si="247"/>
        <v>349.91525423728814</v>
      </c>
      <c r="AQ247" s="105">
        <f t="shared" si="248"/>
        <v>412.9</v>
      </c>
      <c r="AR247" s="106">
        <v>150.1</v>
      </c>
      <c r="AS247" s="105" t="s">
        <v>312</v>
      </c>
      <c r="AT247" s="107">
        <v>0</v>
      </c>
      <c r="AU247" s="107">
        <f t="shared" si="272"/>
        <v>5.0847457627118651</v>
      </c>
      <c r="AV247" s="107">
        <v>6</v>
      </c>
      <c r="AW247" s="107">
        <f t="shared" si="273"/>
        <v>763.22033898305096</v>
      </c>
      <c r="AX247" s="107">
        <f t="shared" si="277"/>
        <v>900.59999999999991</v>
      </c>
      <c r="AY247" s="108">
        <f t="shared" si="246"/>
        <v>1113.1355932203392</v>
      </c>
      <c r="AZ247" s="109">
        <f t="shared" si="246"/>
        <v>1313.5</v>
      </c>
      <c r="BA247" s="9"/>
      <c r="BB247" s="9"/>
      <c r="BC247" s="9"/>
      <c r="BD247" s="9"/>
      <c r="BE247" s="45"/>
      <c r="BF247" s="45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</row>
    <row r="248" spans="1:93" s="4" customFormat="1" ht="183" outlineLevel="1" x14ac:dyDescent="0.25">
      <c r="A248" s="100">
        <f>A247+1</f>
        <v>205</v>
      </c>
      <c r="B248" s="101" t="s">
        <v>258</v>
      </c>
      <c r="C248" s="102" t="s">
        <v>270</v>
      </c>
      <c r="D248" s="103" t="s">
        <v>19</v>
      </c>
      <c r="E248" s="104">
        <f t="shared" si="249"/>
        <v>120.39999999999999</v>
      </c>
      <c r="F248" s="105">
        <v>0</v>
      </c>
      <c r="G248" s="105">
        <f t="shared" si="252"/>
        <v>16.949152542372882</v>
      </c>
      <c r="H248" s="105">
        <v>20</v>
      </c>
      <c r="I248" s="105">
        <f t="shared" si="259"/>
        <v>0</v>
      </c>
      <c r="J248" s="104">
        <v>0</v>
      </c>
      <c r="K248" s="105">
        <f t="shared" si="253"/>
        <v>12.711864406779661</v>
      </c>
      <c r="L248" s="105">
        <v>15</v>
      </c>
      <c r="M248" s="105">
        <f t="shared" si="260"/>
        <v>0</v>
      </c>
      <c r="N248" s="106">
        <v>0</v>
      </c>
      <c r="O248" s="105">
        <f t="shared" si="261"/>
        <v>6.6101694915254239</v>
      </c>
      <c r="P248" s="105">
        <v>7.8</v>
      </c>
      <c r="Q248" s="105">
        <f t="shared" si="262"/>
        <v>0</v>
      </c>
      <c r="R248" s="104">
        <v>83.3</v>
      </c>
      <c r="S248" s="105">
        <f t="shared" si="263"/>
        <v>13.220338983050848</v>
      </c>
      <c r="T248" s="105">
        <v>15.6</v>
      </c>
      <c r="U248" s="105">
        <f t="shared" si="264"/>
        <v>1299.48</v>
      </c>
      <c r="V248" s="105">
        <v>0</v>
      </c>
      <c r="W248" s="105">
        <f t="shared" ref="W248:W249" si="288">X248/1.18</f>
        <v>5.9322033898305087</v>
      </c>
      <c r="X248" s="105">
        <v>7</v>
      </c>
      <c r="Y248" s="105">
        <f t="shared" si="266"/>
        <v>0</v>
      </c>
      <c r="Z248" s="104">
        <v>33.9</v>
      </c>
      <c r="AA248" s="105">
        <f t="shared" si="255"/>
        <v>5.5084745762711869</v>
      </c>
      <c r="AB248" s="105">
        <v>6.5</v>
      </c>
      <c r="AC248" s="105">
        <f t="shared" si="267"/>
        <v>220.35</v>
      </c>
      <c r="AD248" s="105">
        <v>0</v>
      </c>
      <c r="AE248" s="105">
        <f t="shared" si="256"/>
        <v>4.2372881355932206</v>
      </c>
      <c r="AF248" s="105">
        <v>5</v>
      </c>
      <c r="AG248" s="105">
        <f t="shared" si="268"/>
        <v>0</v>
      </c>
      <c r="AH248" s="106">
        <v>0</v>
      </c>
      <c r="AI248" s="105">
        <f t="shared" si="257"/>
        <v>9.3220338983050848</v>
      </c>
      <c r="AJ248" s="116">
        <v>11</v>
      </c>
      <c r="AK248" s="105">
        <f t="shared" si="269"/>
        <v>0</v>
      </c>
      <c r="AL248" s="106">
        <v>3.2</v>
      </c>
      <c r="AM248" s="105">
        <f t="shared" si="270"/>
        <v>12.711864406779661</v>
      </c>
      <c r="AN248" s="105">
        <v>15</v>
      </c>
      <c r="AO248" s="105">
        <f t="shared" si="271"/>
        <v>48</v>
      </c>
      <c r="AP248" s="105">
        <f t="shared" si="247"/>
        <v>1328.6694915254238</v>
      </c>
      <c r="AQ248" s="105">
        <f t="shared" si="248"/>
        <v>1567.83</v>
      </c>
      <c r="AR248" s="106">
        <v>0</v>
      </c>
      <c r="AS248" s="105" t="s">
        <v>312</v>
      </c>
      <c r="AT248" s="107">
        <v>0</v>
      </c>
      <c r="AU248" s="107">
        <f t="shared" si="272"/>
        <v>5.0847457627118651</v>
      </c>
      <c r="AV248" s="107">
        <v>6</v>
      </c>
      <c r="AW248" s="107">
        <f t="shared" si="273"/>
        <v>0</v>
      </c>
      <c r="AX248" s="107">
        <f t="shared" si="277"/>
        <v>0</v>
      </c>
      <c r="AY248" s="108">
        <f t="shared" si="246"/>
        <v>1328.6694915254238</v>
      </c>
      <c r="AZ248" s="109">
        <f t="shared" si="246"/>
        <v>1567.83</v>
      </c>
      <c r="BA248" s="9"/>
      <c r="BB248" s="9"/>
      <c r="BC248" s="9"/>
      <c r="BD248" s="9"/>
      <c r="BE248" s="45"/>
      <c r="BF248" s="45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</row>
    <row r="249" spans="1:93" s="4" customFormat="1" ht="228.75" outlineLevel="1" x14ac:dyDescent="0.25">
      <c r="A249" s="100">
        <f t="shared" si="284"/>
        <v>206</v>
      </c>
      <c r="B249" s="101" t="s">
        <v>259</v>
      </c>
      <c r="C249" s="102" t="s">
        <v>271</v>
      </c>
      <c r="D249" s="103" t="s">
        <v>19</v>
      </c>
      <c r="E249" s="104">
        <f t="shared" si="249"/>
        <v>51.5</v>
      </c>
      <c r="F249" s="105">
        <v>0</v>
      </c>
      <c r="G249" s="105">
        <f t="shared" si="252"/>
        <v>16.949152542372882</v>
      </c>
      <c r="H249" s="105">
        <v>20</v>
      </c>
      <c r="I249" s="105">
        <f t="shared" si="259"/>
        <v>0</v>
      </c>
      <c r="J249" s="104">
        <v>0</v>
      </c>
      <c r="K249" s="105">
        <f t="shared" si="253"/>
        <v>12.711864406779661</v>
      </c>
      <c r="L249" s="105">
        <v>15</v>
      </c>
      <c r="M249" s="105">
        <f t="shared" si="260"/>
        <v>0</v>
      </c>
      <c r="N249" s="106">
        <v>0</v>
      </c>
      <c r="O249" s="105">
        <f t="shared" si="261"/>
        <v>6.6101694915254239</v>
      </c>
      <c r="P249" s="105">
        <v>7.8</v>
      </c>
      <c r="Q249" s="105">
        <f t="shared" si="262"/>
        <v>0</v>
      </c>
      <c r="R249" s="104">
        <v>51.5</v>
      </c>
      <c r="S249" s="105">
        <f t="shared" si="263"/>
        <v>13.220338983050848</v>
      </c>
      <c r="T249" s="105">
        <v>15.6</v>
      </c>
      <c r="U249" s="105">
        <f t="shared" si="264"/>
        <v>803.4</v>
      </c>
      <c r="V249" s="105">
        <v>0</v>
      </c>
      <c r="W249" s="105">
        <f t="shared" si="288"/>
        <v>5.9322033898305087</v>
      </c>
      <c r="X249" s="105">
        <v>7</v>
      </c>
      <c r="Y249" s="105">
        <f t="shared" si="266"/>
        <v>0</v>
      </c>
      <c r="Z249" s="104">
        <v>0</v>
      </c>
      <c r="AA249" s="105">
        <f t="shared" si="255"/>
        <v>5.5084745762711869</v>
      </c>
      <c r="AB249" s="105">
        <v>6.5</v>
      </c>
      <c r="AC249" s="105">
        <f t="shared" si="267"/>
        <v>0</v>
      </c>
      <c r="AD249" s="105">
        <v>0</v>
      </c>
      <c r="AE249" s="105">
        <f t="shared" si="256"/>
        <v>4.2372881355932206</v>
      </c>
      <c r="AF249" s="105">
        <v>5</v>
      </c>
      <c r="AG249" s="105">
        <f t="shared" si="268"/>
        <v>0</v>
      </c>
      <c r="AH249" s="106">
        <v>0</v>
      </c>
      <c r="AI249" s="105">
        <f t="shared" si="257"/>
        <v>9.3220338983050848</v>
      </c>
      <c r="AJ249" s="116">
        <v>11</v>
      </c>
      <c r="AK249" s="105">
        <f t="shared" si="269"/>
        <v>0</v>
      </c>
      <c r="AL249" s="106">
        <v>0</v>
      </c>
      <c r="AM249" s="105">
        <f t="shared" si="270"/>
        <v>12.711864406779661</v>
      </c>
      <c r="AN249" s="105">
        <v>15</v>
      </c>
      <c r="AO249" s="105">
        <f t="shared" si="271"/>
        <v>0</v>
      </c>
      <c r="AP249" s="105">
        <f t="shared" si="247"/>
        <v>680.84745762711862</v>
      </c>
      <c r="AQ249" s="105">
        <f t="shared" si="248"/>
        <v>803.4</v>
      </c>
      <c r="AR249" s="106">
        <v>0</v>
      </c>
      <c r="AS249" s="105" t="s">
        <v>312</v>
      </c>
      <c r="AT249" s="107">
        <v>0</v>
      </c>
      <c r="AU249" s="107">
        <f t="shared" si="272"/>
        <v>5.0847457627118651</v>
      </c>
      <c r="AV249" s="107">
        <v>6</v>
      </c>
      <c r="AW249" s="107">
        <f t="shared" si="273"/>
        <v>0</v>
      </c>
      <c r="AX249" s="107">
        <f t="shared" si="277"/>
        <v>0</v>
      </c>
      <c r="AY249" s="108">
        <f t="shared" si="246"/>
        <v>680.84745762711862</v>
      </c>
      <c r="AZ249" s="109">
        <f t="shared" si="246"/>
        <v>803.4</v>
      </c>
      <c r="BA249" s="9"/>
      <c r="BB249" s="9"/>
      <c r="BC249" s="9"/>
      <c r="BD249" s="9"/>
      <c r="BE249" s="45"/>
      <c r="BF249" s="45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</row>
    <row r="250" spans="1:93" s="4" customFormat="1" ht="183" outlineLevel="1" x14ac:dyDescent="0.25">
      <c r="A250" s="100">
        <f t="shared" si="284"/>
        <v>207</v>
      </c>
      <c r="B250" s="101" t="s">
        <v>258</v>
      </c>
      <c r="C250" s="102" t="s">
        <v>272</v>
      </c>
      <c r="D250" s="103" t="s">
        <v>19</v>
      </c>
      <c r="E250" s="104">
        <f t="shared" si="249"/>
        <v>50.4</v>
      </c>
      <c r="F250" s="105">
        <v>0</v>
      </c>
      <c r="G250" s="105">
        <f t="shared" si="252"/>
        <v>16.949152542372882</v>
      </c>
      <c r="H250" s="105">
        <v>20</v>
      </c>
      <c r="I250" s="105">
        <f t="shared" si="259"/>
        <v>0</v>
      </c>
      <c r="J250" s="104">
        <v>0</v>
      </c>
      <c r="K250" s="105">
        <f t="shared" si="253"/>
        <v>12.711864406779661</v>
      </c>
      <c r="L250" s="105">
        <v>15</v>
      </c>
      <c r="M250" s="105">
        <f t="shared" si="260"/>
        <v>0</v>
      </c>
      <c r="N250" s="106">
        <v>0</v>
      </c>
      <c r="O250" s="105">
        <f t="shared" si="261"/>
        <v>6.6101694915254239</v>
      </c>
      <c r="P250" s="105">
        <v>7.8</v>
      </c>
      <c r="Q250" s="105">
        <f t="shared" si="262"/>
        <v>0</v>
      </c>
      <c r="R250" s="104">
        <v>50.4</v>
      </c>
      <c r="S250" s="105">
        <f t="shared" si="263"/>
        <v>13.220338983050848</v>
      </c>
      <c r="T250" s="105">
        <v>15.6</v>
      </c>
      <c r="U250" s="105">
        <f t="shared" si="264"/>
        <v>786.24</v>
      </c>
      <c r="V250" s="105">
        <v>0</v>
      </c>
      <c r="W250" s="105">
        <v>4.2</v>
      </c>
      <c r="X250" s="105">
        <v>7</v>
      </c>
      <c r="Y250" s="105">
        <f t="shared" si="266"/>
        <v>0</v>
      </c>
      <c r="Z250" s="104">
        <v>0</v>
      </c>
      <c r="AA250" s="105">
        <f t="shared" si="255"/>
        <v>5.5084745762711869</v>
      </c>
      <c r="AB250" s="105">
        <v>6.5</v>
      </c>
      <c r="AC250" s="105">
        <f t="shared" si="267"/>
        <v>0</v>
      </c>
      <c r="AD250" s="105">
        <v>0</v>
      </c>
      <c r="AE250" s="105">
        <f t="shared" si="256"/>
        <v>4.2372881355932206</v>
      </c>
      <c r="AF250" s="105">
        <v>5</v>
      </c>
      <c r="AG250" s="105">
        <f t="shared" si="268"/>
        <v>0</v>
      </c>
      <c r="AH250" s="106">
        <v>0</v>
      </c>
      <c r="AI250" s="105">
        <f t="shared" si="257"/>
        <v>9.3220338983050848</v>
      </c>
      <c r="AJ250" s="116">
        <v>11</v>
      </c>
      <c r="AK250" s="105">
        <f t="shared" si="269"/>
        <v>0</v>
      </c>
      <c r="AL250" s="106">
        <v>0</v>
      </c>
      <c r="AM250" s="105">
        <f t="shared" si="270"/>
        <v>12.711864406779661</v>
      </c>
      <c r="AN250" s="105">
        <v>15</v>
      </c>
      <c r="AO250" s="105">
        <f t="shared" si="271"/>
        <v>0</v>
      </c>
      <c r="AP250" s="105">
        <f t="shared" si="247"/>
        <v>666.30508474576277</v>
      </c>
      <c r="AQ250" s="105">
        <f t="shared" si="248"/>
        <v>786.24</v>
      </c>
      <c r="AR250" s="106">
        <v>0</v>
      </c>
      <c r="AS250" s="105" t="s">
        <v>312</v>
      </c>
      <c r="AT250" s="107">
        <v>0</v>
      </c>
      <c r="AU250" s="107">
        <f t="shared" si="272"/>
        <v>5.0847457627118651</v>
      </c>
      <c r="AV250" s="107">
        <v>6</v>
      </c>
      <c r="AW250" s="107">
        <f t="shared" si="273"/>
        <v>0</v>
      </c>
      <c r="AX250" s="107">
        <f t="shared" si="277"/>
        <v>0</v>
      </c>
      <c r="AY250" s="108">
        <f t="shared" si="246"/>
        <v>666.30508474576277</v>
      </c>
      <c r="AZ250" s="109">
        <f t="shared" si="246"/>
        <v>786.24</v>
      </c>
      <c r="BA250" s="9"/>
      <c r="BB250" s="9"/>
      <c r="BC250" s="9"/>
      <c r="BD250" s="9"/>
      <c r="BE250" s="45"/>
      <c r="BF250" s="45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</row>
    <row r="251" spans="1:93" s="4" customFormat="1" ht="228.75" outlineLevel="1" x14ac:dyDescent="0.25">
      <c r="A251" s="100">
        <f t="shared" si="284"/>
        <v>208</v>
      </c>
      <c r="B251" s="101" t="s">
        <v>260</v>
      </c>
      <c r="C251" s="102" t="s">
        <v>273</v>
      </c>
      <c r="D251" s="103" t="s">
        <v>19</v>
      </c>
      <c r="E251" s="104">
        <f t="shared" si="249"/>
        <v>41.2</v>
      </c>
      <c r="F251" s="105">
        <v>0</v>
      </c>
      <c r="G251" s="105">
        <f t="shared" si="252"/>
        <v>16.949152542372882</v>
      </c>
      <c r="H251" s="105">
        <v>20</v>
      </c>
      <c r="I251" s="105">
        <f t="shared" si="259"/>
        <v>0</v>
      </c>
      <c r="J251" s="104">
        <v>0</v>
      </c>
      <c r="K251" s="105">
        <f t="shared" si="253"/>
        <v>12.711864406779661</v>
      </c>
      <c r="L251" s="105">
        <v>15</v>
      </c>
      <c r="M251" s="105">
        <f t="shared" si="260"/>
        <v>0</v>
      </c>
      <c r="N251" s="106">
        <v>0</v>
      </c>
      <c r="O251" s="105">
        <f t="shared" si="261"/>
        <v>6.6101694915254239</v>
      </c>
      <c r="P251" s="105">
        <v>7.8</v>
      </c>
      <c r="Q251" s="105">
        <f t="shared" si="262"/>
        <v>0</v>
      </c>
      <c r="R251" s="104">
        <v>12.4</v>
      </c>
      <c r="S251" s="105">
        <f t="shared" si="263"/>
        <v>13.220338983050848</v>
      </c>
      <c r="T251" s="105">
        <v>15.6</v>
      </c>
      <c r="U251" s="105">
        <f t="shared" si="264"/>
        <v>193.44</v>
      </c>
      <c r="V251" s="105">
        <v>0</v>
      </c>
      <c r="W251" s="105">
        <f t="shared" ref="W251:W252" si="289">X251/1.18</f>
        <v>5.9322033898305087</v>
      </c>
      <c r="X251" s="105">
        <v>7</v>
      </c>
      <c r="Y251" s="105">
        <f t="shared" si="266"/>
        <v>0</v>
      </c>
      <c r="Z251" s="104">
        <v>26.8</v>
      </c>
      <c r="AA251" s="105">
        <f t="shared" si="255"/>
        <v>5.5084745762711869</v>
      </c>
      <c r="AB251" s="105">
        <v>6.5</v>
      </c>
      <c r="AC251" s="105">
        <f t="shared" si="267"/>
        <v>174.20000000000002</v>
      </c>
      <c r="AD251" s="105">
        <v>0</v>
      </c>
      <c r="AE251" s="105">
        <f t="shared" si="256"/>
        <v>4.2372881355932206</v>
      </c>
      <c r="AF251" s="105">
        <v>5</v>
      </c>
      <c r="AG251" s="105">
        <f t="shared" si="268"/>
        <v>0</v>
      </c>
      <c r="AH251" s="106">
        <v>0</v>
      </c>
      <c r="AI251" s="105">
        <f t="shared" si="257"/>
        <v>9.3220338983050848</v>
      </c>
      <c r="AJ251" s="116">
        <v>11</v>
      </c>
      <c r="AK251" s="105">
        <f t="shared" si="269"/>
        <v>0</v>
      </c>
      <c r="AL251" s="106">
        <v>2</v>
      </c>
      <c r="AM251" s="105">
        <f t="shared" si="270"/>
        <v>12.711864406779661</v>
      </c>
      <c r="AN251" s="105">
        <v>15</v>
      </c>
      <c r="AO251" s="105">
        <f t="shared" si="271"/>
        <v>30</v>
      </c>
      <c r="AP251" s="105">
        <f t="shared" si="247"/>
        <v>336.9830508474576</v>
      </c>
      <c r="AQ251" s="105">
        <f t="shared" si="248"/>
        <v>397.64</v>
      </c>
      <c r="AR251" s="106">
        <v>0</v>
      </c>
      <c r="AS251" s="105" t="s">
        <v>312</v>
      </c>
      <c r="AT251" s="107">
        <v>0</v>
      </c>
      <c r="AU251" s="107">
        <f t="shared" si="272"/>
        <v>5.0847457627118651</v>
      </c>
      <c r="AV251" s="107">
        <v>6</v>
      </c>
      <c r="AW251" s="107">
        <f t="shared" si="273"/>
        <v>0</v>
      </c>
      <c r="AX251" s="107">
        <f t="shared" si="277"/>
        <v>0</v>
      </c>
      <c r="AY251" s="108">
        <f t="shared" si="246"/>
        <v>336.9830508474576</v>
      </c>
      <c r="AZ251" s="109">
        <f t="shared" si="246"/>
        <v>397.64</v>
      </c>
      <c r="BA251" s="9"/>
      <c r="BB251" s="9"/>
      <c r="BC251" s="9"/>
      <c r="BD251" s="9"/>
      <c r="BE251" s="45"/>
      <c r="BF251" s="45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</row>
    <row r="252" spans="1:93" s="4" customFormat="1" ht="183" outlineLevel="1" x14ac:dyDescent="0.25">
      <c r="A252" s="100">
        <f t="shared" si="284"/>
        <v>209</v>
      </c>
      <c r="B252" s="101" t="s">
        <v>261</v>
      </c>
      <c r="C252" s="102" t="s">
        <v>292</v>
      </c>
      <c r="D252" s="103" t="s">
        <v>19</v>
      </c>
      <c r="E252" s="104">
        <f t="shared" si="249"/>
        <v>238.2</v>
      </c>
      <c r="F252" s="105">
        <v>0</v>
      </c>
      <c r="G252" s="105">
        <f t="shared" si="252"/>
        <v>16.949152542372882</v>
      </c>
      <c r="H252" s="105">
        <v>20</v>
      </c>
      <c r="I252" s="105">
        <f t="shared" si="259"/>
        <v>0</v>
      </c>
      <c r="J252" s="104">
        <v>0</v>
      </c>
      <c r="K252" s="105">
        <f t="shared" si="253"/>
        <v>12.711864406779661</v>
      </c>
      <c r="L252" s="105">
        <v>15</v>
      </c>
      <c r="M252" s="105">
        <f t="shared" si="260"/>
        <v>0</v>
      </c>
      <c r="N252" s="106">
        <v>0</v>
      </c>
      <c r="O252" s="105">
        <f t="shared" si="261"/>
        <v>6.6101694915254239</v>
      </c>
      <c r="P252" s="105">
        <v>7.8</v>
      </c>
      <c r="Q252" s="105">
        <f t="shared" si="262"/>
        <v>0</v>
      </c>
      <c r="R252" s="104">
        <v>219.2</v>
      </c>
      <c r="S252" s="105">
        <f t="shared" si="263"/>
        <v>13.220338983050848</v>
      </c>
      <c r="T252" s="105">
        <v>15.6</v>
      </c>
      <c r="U252" s="105">
        <f t="shared" si="264"/>
        <v>3419.5199999999995</v>
      </c>
      <c r="V252" s="105">
        <v>0</v>
      </c>
      <c r="W252" s="105">
        <f t="shared" si="289"/>
        <v>5.9322033898305087</v>
      </c>
      <c r="X252" s="105">
        <v>7</v>
      </c>
      <c r="Y252" s="105">
        <f t="shared" si="266"/>
        <v>0</v>
      </c>
      <c r="Z252" s="104">
        <v>6.7</v>
      </c>
      <c r="AA252" s="105">
        <f t="shared" si="255"/>
        <v>5.5084745762711869</v>
      </c>
      <c r="AB252" s="105">
        <v>6.5</v>
      </c>
      <c r="AC252" s="105">
        <f t="shared" si="267"/>
        <v>43.550000000000004</v>
      </c>
      <c r="AD252" s="105">
        <v>0</v>
      </c>
      <c r="AE252" s="105">
        <f t="shared" si="256"/>
        <v>4.2372881355932206</v>
      </c>
      <c r="AF252" s="105">
        <v>5</v>
      </c>
      <c r="AG252" s="105">
        <f t="shared" si="268"/>
        <v>0</v>
      </c>
      <c r="AH252" s="106">
        <v>8.3000000000000007</v>
      </c>
      <c r="AI252" s="105">
        <f t="shared" si="257"/>
        <v>9.3220338983050848</v>
      </c>
      <c r="AJ252" s="116">
        <v>11</v>
      </c>
      <c r="AK252" s="105">
        <f t="shared" si="269"/>
        <v>91.300000000000011</v>
      </c>
      <c r="AL252" s="106">
        <v>4</v>
      </c>
      <c r="AM252" s="105">
        <f t="shared" si="270"/>
        <v>12.711864406779661</v>
      </c>
      <c r="AN252" s="105">
        <v>15</v>
      </c>
      <c r="AO252" s="105">
        <f t="shared" si="271"/>
        <v>60</v>
      </c>
      <c r="AP252" s="105">
        <f t="shared" si="247"/>
        <v>3063.0254237288136</v>
      </c>
      <c r="AQ252" s="105">
        <f t="shared" si="248"/>
        <v>3614.37</v>
      </c>
      <c r="AR252" s="106">
        <v>0</v>
      </c>
      <c r="AS252" s="105" t="s">
        <v>312</v>
      </c>
      <c r="AT252" s="107">
        <v>0</v>
      </c>
      <c r="AU252" s="107">
        <f t="shared" si="272"/>
        <v>5.0847457627118651</v>
      </c>
      <c r="AV252" s="107">
        <v>6</v>
      </c>
      <c r="AW252" s="107">
        <f t="shared" si="273"/>
        <v>0</v>
      </c>
      <c r="AX252" s="107">
        <f t="shared" si="277"/>
        <v>0</v>
      </c>
      <c r="AY252" s="108">
        <f t="shared" si="246"/>
        <v>3063.0254237288136</v>
      </c>
      <c r="AZ252" s="109">
        <f t="shared" si="246"/>
        <v>3614.37</v>
      </c>
      <c r="BA252" s="9"/>
      <c r="BB252" s="9"/>
      <c r="BC252" s="9"/>
      <c r="BD252" s="9"/>
      <c r="BE252" s="45"/>
      <c r="BF252" s="45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</row>
    <row r="253" spans="1:93" s="42" customFormat="1" ht="228.75" outlineLevel="1" x14ac:dyDescent="0.25">
      <c r="A253" s="100">
        <f>A252+1</f>
        <v>210</v>
      </c>
      <c r="B253" s="101" t="s">
        <v>263</v>
      </c>
      <c r="C253" s="102" t="s">
        <v>274</v>
      </c>
      <c r="D253" s="103" t="s">
        <v>19</v>
      </c>
      <c r="E253" s="104">
        <f t="shared" si="249"/>
        <v>50.8</v>
      </c>
      <c r="F253" s="105">
        <v>0</v>
      </c>
      <c r="G253" s="105">
        <f t="shared" si="252"/>
        <v>16.949152542372882</v>
      </c>
      <c r="H253" s="105">
        <v>20</v>
      </c>
      <c r="I253" s="105">
        <f t="shared" si="259"/>
        <v>0</v>
      </c>
      <c r="J253" s="104">
        <v>21.2</v>
      </c>
      <c r="K253" s="105">
        <f t="shared" si="253"/>
        <v>12.711864406779661</v>
      </c>
      <c r="L253" s="105">
        <v>15</v>
      </c>
      <c r="M253" s="105">
        <f t="shared" si="260"/>
        <v>318</v>
      </c>
      <c r="N253" s="106">
        <v>0</v>
      </c>
      <c r="O253" s="105">
        <f t="shared" si="261"/>
        <v>6.6101694915254239</v>
      </c>
      <c r="P253" s="105">
        <v>7.8</v>
      </c>
      <c r="Q253" s="105">
        <f t="shared" si="262"/>
        <v>0</v>
      </c>
      <c r="R253" s="104">
        <v>29.6</v>
      </c>
      <c r="S253" s="105">
        <f t="shared" si="263"/>
        <v>13.220338983050848</v>
      </c>
      <c r="T253" s="105">
        <v>15.6</v>
      </c>
      <c r="U253" s="105">
        <f t="shared" si="264"/>
        <v>461.76</v>
      </c>
      <c r="V253" s="105">
        <v>0</v>
      </c>
      <c r="W253" s="105">
        <f t="shared" ref="W253:W258" si="290">X253/1.18</f>
        <v>5.9322033898305087</v>
      </c>
      <c r="X253" s="105">
        <v>7</v>
      </c>
      <c r="Y253" s="105">
        <f t="shared" si="266"/>
        <v>0</v>
      </c>
      <c r="Z253" s="104">
        <v>0</v>
      </c>
      <c r="AA253" s="105">
        <f t="shared" si="255"/>
        <v>5.5084745762711869</v>
      </c>
      <c r="AB253" s="105">
        <v>6.5</v>
      </c>
      <c r="AC253" s="105">
        <f t="shared" si="267"/>
        <v>0</v>
      </c>
      <c r="AD253" s="105">
        <v>0</v>
      </c>
      <c r="AE253" s="105">
        <f t="shared" si="256"/>
        <v>4.2372881355932206</v>
      </c>
      <c r="AF253" s="105">
        <v>5</v>
      </c>
      <c r="AG253" s="105">
        <f>AF253*AD253</f>
        <v>0</v>
      </c>
      <c r="AH253" s="106">
        <v>0</v>
      </c>
      <c r="AI253" s="105">
        <f t="shared" si="257"/>
        <v>9.3220338983050848</v>
      </c>
      <c r="AJ253" s="116">
        <v>11</v>
      </c>
      <c r="AK253" s="105">
        <f t="shared" si="269"/>
        <v>0</v>
      </c>
      <c r="AL253" s="106">
        <v>0</v>
      </c>
      <c r="AM253" s="105">
        <f t="shared" si="270"/>
        <v>12.711864406779661</v>
      </c>
      <c r="AN253" s="105">
        <v>15</v>
      </c>
      <c r="AO253" s="105">
        <f t="shared" si="271"/>
        <v>0</v>
      </c>
      <c r="AP253" s="105">
        <f t="shared" si="247"/>
        <v>660.81355932203394</v>
      </c>
      <c r="AQ253" s="105">
        <f t="shared" si="248"/>
        <v>779.76</v>
      </c>
      <c r="AR253" s="106">
        <v>0</v>
      </c>
      <c r="AS253" s="105" t="s">
        <v>312</v>
      </c>
      <c r="AT253" s="107">
        <v>0</v>
      </c>
      <c r="AU253" s="107">
        <f t="shared" si="272"/>
        <v>5.0847457627118651</v>
      </c>
      <c r="AV253" s="107">
        <v>6</v>
      </c>
      <c r="AW253" s="107">
        <f t="shared" si="273"/>
        <v>0</v>
      </c>
      <c r="AX253" s="107">
        <f t="shared" si="277"/>
        <v>0</v>
      </c>
      <c r="AY253" s="108">
        <f t="shared" si="246"/>
        <v>660.81355932203394</v>
      </c>
      <c r="AZ253" s="109">
        <f t="shared" si="246"/>
        <v>779.76</v>
      </c>
      <c r="BA253" s="45"/>
      <c r="BB253" s="45"/>
      <c r="BC253" s="45"/>
      <c r="BD253" s="45"/>
      <c r="BE253" s="45"/>
      <c r="BF253" s="45"/>
    </row>
    <row r="254" spans="1:93" s="42" customFormat="1" ht="228.75" outlineLevel="1" x14ac:dyDescent="0.25">
      <c r="A254" s="100">
        <f t="shared" si="284"/>
        <v>211</v>
      </c>
      <c r="B254" s="101" t="s">
        <v>264</v>
      </c>
      <c r="C254" s="102" t="s">
        <v>275</v>
      </c>
      <c r="D254" s="103" t="s">
        <v>19</v>
      </c>
      <c r="E254" s="104">
        <f t="shared" si="249"/>
        <v>7</v>
      </c>
      <c r="F254" s="105">
        <v>0</v>
      </c>
      <c r="G254" s="105">
        <f t="shared" si="252"/>
        <v>16.949152542372882</v>
      </c>
      <c r="H254" s="105">
        <v>20</v>
      </c>
      <c r="I254" s="105">
        <f t="shared" si="259"/>
        <v>0</v>
      </c>
      <c r="J254" s="104">
        <f>7</f>
        <v>7</v>
      </c>
      <c r="K254" s="105">
        <f t="shared" si="253"/>
        <v>12.711864406779661</v>
      </c>
      <c r="L254" s="105">
        <v>15</v>
      </c>
      <c r="M254" s="105">
        <f t="shared" si="260"/>
        <v>105</v>
      </c>
      <c r="N254" s="106">
        <v>0</v>
      </c>
      <c r="O254" s="105">
        <f t="shared" si="261"/>
        <v>6.6101694915254239</v>
      </c>
      <c r="P254" s="105">
        <v>7.8</v>
      </c>
      <c r="Q254" s="105">
        <f t="shared" si="262"/>
        <v>0</v>
      </c>
      <c r="R254" s="104">
        <v>0</v>
      </c>
      <c r="S254" s="105">
        <f t="shared" si="263"/>
        <v>13.220338983050848</v>
      </c>
      <c r="T254" s="105">
        <v>15.6</v>
      </c>
      <c r="U254" s="105">
        <f t="shared" si="264"/>
        <v>0</v>
      </c>
      <c r="V254" s="105">
        <v>0</v>
      </c>
      <c r="W254" s="105">
        <f t="shared" si="290"/>
        <v>5.9322033898305087</v>
      </c>
      <c r="X254" s="105">
        <v>7</v>
      </c>
      <c r="Y254" s="105">
        <f t="shared" si="266"/>
        <v>0</v>
      </c>
      <c r="Z254" s="104">
        <v>0</v>
      </c>
      <c r="AA254" s="105">
        <f t="shared" si="255"/>
        <v>5.5084745762711869</v>
      </c>
      <c r="AB254" s="105">
        <v>6.5</v>
      </c>
      <c r="AC254" s="105">
        <f t="shared" si="267"/>
        <v>0</v>
      </c>
      <c r="AD254" s="105">
        <v>0</v>
      </c>
      <c r="AE254" s="105">
        <f t="shared" si="256"/>
        <v>4.2372881355932206</v>
      </c>
      <c r="AF254" s="105">
        <v>5</v>
      </c>
      <c r="AG254" s="105">
        <f>AF254*AD254</f>
        <v>0</v>
      </c>
      <c r="AH254" s="106">
        <v>0</v>
      </c>
      <c r="AI254" s="105">
        <f t="shared" si="257"/>
        <v>9.3220338983050848</v>
      </c>
      <c r="AJ254" s="116">
        <v>11</v>
      </c>
      <c r="AK254" s="105">
        <f t="shared" si="269"/>
        <v>0</v>
      </c>
      <c r="AL254" s="106">
        <v>0</v>
      </c>
      <c r="AM254" s="105">
        <f t="shared" si="270"/>
        <v>12.711864406779661</v>
      </c>
      <c r="AN254" s="105">
        <v>15</v>
      </c>
      <c r="AO254" s="105">
        <f t="shared" si="271"/>
        <v>0</v>
      </c>
      <c r="AP254" s="105">
        <f t="shared" si="247"/>
        <v>88.983050847457633</v>
      </c>
      <c r="AQ254" s="105">
        <f t="shared" si="248"/>
        <v>105</v>
      </c>
      <c r="AR254" s="106">
        <v>0</v>
      </c>
      <c r="AS254" s="105" t="s">
        <v>312</v>
      </c>
      <c r="AT254" s="107">
        <v>0</v>
      </c>
      <c r="AU254" s="107">
        <f t="shared" si="272"/>
        <v>5.0847457627118651</v>
      </c>
      <c r="AV254" s="107">
        <v>6</v>
      </c>
      <c r="AW254" s="107">
        <f t="shared" si="273"/>
        <v>0</v>
      </c>
      <c r="AX254" s="107">
        <f t="shared" si="277"/>
        <v>0</v>
      </c>
      <c r="AY254" s="108">
        <f t="shared" si="246"/>
        <v>88.983050847457633</v>
      </c>
      <c r="AZ254" s="109">
        <f t="shared" si="246"/>
        <v>105</v>
      </c>
      <c r="BA254" s="45"/>
      <c r="BB254" s="45"/>
      <c r="BC254" s="45"/>
      <c r="BD254" s="45"/>
      <c r="BE254" s="45"/>
      <c r="BF254" s="45"/>
    </row>
    <row r="255" spans="1:93" s="42" customFormat="1" ht="228.75" outlineLevel="1" x14ac:dyDescent="0.25">
      <c r="A255" s="100">
        <f>A254+1</f>
        <v>212</v>
      </c>
      <c r="B255" s="101" t="s">
        <v>262</v>
      </c>
      <c r="C255" s="102" t="s">
        <v>276</v>
      </c>
      <c r="D255" s="103" t="s">
        <v>19</v>
      </c>
      <c r="E255" s="104">
        <f t="shared" si="249"/>
        <v>57.300000000000004</v>
      </c>
      <c r="F255" s="105">
        <v>0</v>
      </c>
      <c r="G255" s="105">
        <f t="shared" si="252"/>
        <v>16.949152542372882</v>
      </c>
      <c r="H255" s="105">
        <v>20</v>
      </c>
      <c r="I255" s="105">
        <f t="shared" si="259"/>
        <v>0</v>
      </c>
      <c r="J255" s="104">
        <v>0</v>
      </c>
      <c r="K255" s="105">
        <f t="shared" si="253"/>
        <v>12.711864406779661</v>
      </c>
      <c r="L255" s="105">
        <v>15</v>
      </c>
      <c r="M255" s="105">
        <f t="shared" si="260"/>
        <v>0</v>
      </c>
      <c r="N255" s="106">
        <v>0</v>
      </c>
      <c r="O255" s="105">
        <f t="shared" si="261"/>
        <v>6.6101694915254239</v>
      </c>
      <c r="P255" s="105">
        <v>7.8</v>
      </c>
      <c r="Q255" s="105">
        <f t="shared" si="262"/>
        <v>0</v>
      </c>
      <c r="R255" s="104">
        <v>51.6</v>
      </c>
      <c r="S255" s="105">
        <f t="shared" si="263"/>
        <v>13.220338983050848</v>
      </c>
      <c r="T255" s="105">
        <v>15.6</v>
      </c>
      <c r="U255" s="105">
        <f t="shared" si="264"/>
        <v>804.96</v>
      </c>
      <c r="V255" s="105">
        <v>0</v>
      </c>
      <c r="W255" s="105">
        <f t="shared" si="290"/>
        <v>5.9322033898305087</v>
      </c>
      <c r="X255" s="105">
        <v>7</v>
      </c>
      <c r="Y255" s="105">
        <f t="shared" si="266"/>
        <v>0</v>
      </c>
      <c r="Z255" s="104">
        <v>5.7</v>
      </c>
      <c r="AA255" s="105">
        <f t="shared" si="255"/>
        <v>5.5084745762711869</v>
      </c>
      <c r="AB255" s="105">
        <v>6.5</v>
      </c>
      <c r="AC255" s="105">
        <f>AB255*Z255</f>
        <v>37.050000000000004</v>
      </c>
      <c r="AD255" s="105">
        <v>0</v>
      </c>
      <c r="AE255" s="105">
        <f t="shared" si="256"/>
        <v>4.2372881355932206</v>
      </c>
      <c r="AF255" s="105">
        <v>5</v>
      </c>
      <c r="AG255" s="105">
        <f>AF255*AD255</f>
        <v>0</v>
      </c>
      <c r="AH255" s="106">
        <v>0</v>
      </c>
      <c r="AI255" s="105">
        <f t="shared" si="257"/>
        <v>9.3220338983050848</v>
      </c>
      <c r="AJ255" s="116">
        <v>11</v>
      </c>
      <c r="AK255" s="105">
        <f t="shared" si="269"/>
        <v>0</v>
      </c>
      <c r="AL255" s="106">
        <v>0</v>
      </c>
      <c r="AM255" s="105">
        <f t="shared" si="270"/>
        <v>12.711864406779661</v>
      </c>
      <c r="AN255" s="105">
        <v>15</v>
      </c>
      <c r="AO255" s="105">
        <f t="shared" si="271"/>
        <v>0</v>
      </c>
      <c r="AP255" s="105">
        <f t="shared" si="247"/>
        <v>713.56779661016947</v>
      </c>
      <c r="AQ255" s="105">
        <f t="shared" si="248"/>
        <v>842.01</v>
      </c>
      <c r="AR255" s="106">
        <v>0</v>
      </c>
      <c r="AS255" s="105" t="s">
        <v>312</v>
      </c>
      <c r="AT255" s="107">
        <v>0</v>
      </c>
      <c r="AU255" s="107">
        <f t="shared" si="272"/>
        <v>5.0847457627118651</v>
      </c>
      <c r="AV255" s="107">
        <v>6</v>
      </c>
      <c r="AW255" s="107">
        <f t="shared" si="273"/>
        <v>0</v>
      </c>
      <c r="AX255" s="107">
        <f t="shared" ref="AX255:AX256" si="291">AV255*AR255</f>
        <v>0</v>
      </c>
      <c r="AY255" s="108">
        <f t="shared" si="246"/>
        <v>713.56779661016947</v>
      </c>
      <c r="AZ255" s="109">
        <f t="shared" si="246"/>
        <v>842.01</v>
      </c>
      <c r="BA255" s="45"/>
      <c r="BB255" s="45"/>
      <c r="BC255" s="45"/>
      <c r="BD255" s="45"/>
      <c r="BE255" s="45"/>
      <c r="BF255" s="45"/>
    </row>
    <row r="256" spans="1:93" s="42" customFormat="1" ht="228.75" outlineLevel="1" x14ac:dyDescent="0.25">
      <c r="A256" s="100">
        <f t="shared" ref="A256:A258" si="292">A255+1</f>
        <v>213</v>
      </c>
      <c r="B256" s="101" t="s">
        <v>262</v>
      </c>
      <c r="C256" s="142" t="s">
        <v>306</v>
      </c>
      <c r="D256" s="103"/>
      <c r="E256" s="104">
        <f t="shared" si="249"/>
        <v>68.099999999999994</v>
      </c>
      <c r="F256" s="105">
        <v>0</v>
      </c>
      <c r="G256" s="105">
        <f t="shared" si="252"/>
        <v>16.949152542372882</v>
      </c>
      <c r="H256" s="105">
        <v>20</v>
      </c>
      <c r="I256" s="105">
        <f t="shared" si="259"/>
        <v>0</v>
      </c>
      <c r="J256" s="104">
        <v>58.1</v>
      </c>
      <c r="K256" s="105">
        <f t="shared" si="253"/>
        <v>12.711864406779661</v>
      </c>
      <c r="L256" s="105">
        <v>15</v>
      </c>
      <c r="M256" s="105">
        <f t="shared" si="260"/>
        <v>871.5</v>
      </c>
      <c r="N256" s="106">
        <v>0</v>
      </c>
      <c r="O256" s="105">
        <f t="shared" si="261"/>
        <v>6.6101694915254239</v>
      </c>
      <c r="P256" s="105">
        <v>7.8</v>
      </c>
      <c r="Q256" s="105">
        <f t="shared" si="262"/>
        <v>0</v>
      </c>
      <c r="R256" s="104">
        <v>0</v>
      </c>
      <c r="S256" s="105">
        <f t="shared" si="263"/>
        <v>13.220338983050848</v>
      </c>
      <c r="T256" s="105">
        <v>15.6</v>
      </c>
      <c r="U256" s="105">
        <f t="shared" si="264"/>
        <v>0</v>
      </c>
      <c r="V256" s="105">
        <v>0</v>
      </c>
      <c r="W256" s="105">
        <f t="shared" si="290"/>
        <v>5.9322033898305087</v>
      </c>
      <c r="X256" s="105">
        <v>7</v>
      </c>
      <c r="Y256" s="105">
        <f t="shared" si="266"/>
        <v>0</v>
      </c>
      <c r="Z256" s="104">
        <v>10</v>
      </c>
      <c r="AA256" s="105">
        <f t="shared" si="255"/>
        <v>5.5084745762711869</v>
      </c>
      <c r="AB256" s="105">
        <v>6.5</v>
      </c>
      <c r="AC256" s="105">
        <f t="shared" ref="AC256:AC258" si="293">AB256*Z256</f>
        <v>65</v>
      </c>
      <c r="AD256" s="105">
        <v>0</v>
      </c>
      <c r="AE256" s="105">
        <f t="shared" si="256"/>
        <v>4.2372881355932206</v>
      </c>
      <c r="AF256" s="105">
        <v>5</v>
      </c>
      <c r="AG256" s="105">
        <f t="shared" ref="AG256:AG258" si="294">AF256*AD256</f>
        <v>0</v>
      </c>
      <c r="AH256" s="106">
        <v>0</v>
      </c>
      <c r="AI256" s="105">
        <f t="shared" si="257"/>
        <v>9.3220338983050848</v>
      </c>
      <c r="AJ256" s="116">
        <v>11</v>
      </c>
      <c r="AK256" s="105">
        <f t="shared" si="269"/>
        <v>0</v>
      </c>
      <c r="AL256" s="106">
        <v>0</v>
      </c>
      <c r="AM256" s="105">
        <f t="shared" si="270"/>
        <v>12.711864406779661</v>
      </c>
      <c r="AN256" s="105">
        <v>15</v>
      </c>
      <c r="AO256" s="105">
        <f t="shared" si="271"/>
        <v>0</v>
      </c>
      <c r="AP256" s="105">
        <f t="shared" si="247"/>
        <v>793.64406779661022</v>
      </c>
      <c r="AQ256" s="105">
        <f t="shared" si="248"/>
        <v>936.5</v>
      </c>
      <c r="AR256" s="106">
        <v>0</v>
      </c>
      <c r="AS256" s="105" t="s">
        <v>312</v>
      </c>
      <c r="AT256" s="107">
        <v>0</v>
      </c>
      <c r="AU256" s="107">
        <f t="shared" ref="AU256:AU258" si="295">AV256/1.18</f>
        <v>5.0847457627118651</v>
      </c>
      <c r="AV256" s="107">
        <v>6</v>
      </c>
      <c r="AW256" s="107">
        <f t="shared" ref="AW256:AW258" si="296">AU256*AR256</f>
        <v>0</v>
      </c>
      <c r="AX256" s="107">
        <f t="shared" si="291"/>
        <v>0</v>
      </c>
      <c r="AY256" s="108">
        <f t="shared" ref="AY256:AY258" si="297">AP256+AW256</f>
        <v>793.64406779661022</v>
      </c>
      <c r="AZ256" s="109">
        <f t="shared" ref="AZ256:AZ258" si="298">AQ256+AX256</f>
        <v>936.5</v>
      </c>
      <c r="BA256" s="45"/>
      <c r="BB256" s="45"/>
      <c r="BC256" s="45"/>
      <c r="BD256" s="45"/>
      <c r="BE256" s="45"/>
      <c r="BF256" s="45"/>
    </row>
    <row r="257" spans="1:93" s="42" customFormat="1" ht="228.75" outlineLevel="1" x14ac:dyDescent="0.25">
      <c r="A257" s="100">
        <f t="shared" si="292"/>
        <v>214</v>
      </c>
      <c r="B257" s="101" t="s">
        <v>262</v>
      </c>
      <c r="C257" s="142" t="s">
        <v>307</v>
      </c>
      <c r="D257" s="103"/>
      <c r="E257" s="104">
        <f t="shared" si="249"/>
        <v>68.099999999999994</v>
      </c>
      <c r="F257" s="105">
        <v>0</v>
      </c>
      <c r="G257" s="105">
        <f t="shared" si="252"/>
        <v>16.949152542372882</v>
      </c>
      <c r="H257" s="105">
        <v>20</v>
      </c>
      <c r="I257" s="105">
        <f t="shared" si="259"/>
        <v>0</v>
      </c>
      <c r="J257" s="104">
        <v>68.099999999999994</v>
      </c>
      <c r="K257" s="105">
        <f t="shared" si="253"/>
        <v>12.711864406779661</v>
      </c>
      <c r="L257" s="105">
        <v>15</v>
      </c>
      <c r="M257" s="105">
        <f t="shared" si="260"/>
        <v>1021.4999999999999</v>
      </c>
      <c r="N257" s="106">
        <v>0</v>
      </c>
      <c r="O257" s="105">
        <f t="shared" si="261"/>
        <v>6.6101694915254239</v>
      </c>
      <c r="P257" s="105">
        <v>7.8</v>
      </c>
      <c r="Q257" s="105">
        <f t="shared" si="262"/>
        <v>0</v>
      </c>
      <c r="R257" s="104">
        <v>0</v>
      </c>
      <c r="S257" s="105">
        <f t="shared" si="263"/>
        <v>13.220338983050848</v>
      </c>
      <c r="T257" s="105">
        <v>15.6</v>
      </c>
      <c r="U257" s="105">
        <f t="shared" si="264"/>
        <v>0</v>
      </c>
      <c r="V257" s="105">
        <v>0</v>
      </c>
      <c r="W257" s="105">
        <f t="shared" si="290"/>
        <v>5.9322033898305087</v>
      </c>
      <c r="X257" s="105">
        <v>7</v>
      </c>
      <c r="Y257" s="105">
        <f t="shared" si="266"/>
        <v>0</v>
      </c>
      <c r="Z257" s="104">
        <v>0</v>
      </c>
      <c r="AA257" s="105">
        <f t="shared" si="255"/>
        <v>5.5084745762711869</v>
      </c>
      <c r="AB257" s="105">
        <v>6.5</v>
      </c>
      <c r="AC257" s="105">
        <f t="shared" si="293"/>
        <v>0</v>
      </c>
      <c r="AD257" s="105">
        <v>0</v>
      </c>
      <c r="AE257" s="105">
        <f t="shared" si="256"/>
        <v>4.2372881355932206</v>
      </c>
      <c r="AF257" s="105">
        <v>5</v>
      </c>
      <c r="AG257" s="105">
        <f t="shared" si="294"/>
        <v>0</v>
      </c>
      <c r="AH257" s="106">
        <v>0</v>
      </c>
      <c r="AI257" s="105">
        <f t="shared" si="257"/>
        <v>9.3220338983050848</v>
      </c>
      <c r="AJ257" s="116">
        <v>11</v>
      </c>
      <c r="AK257" s="105">
        <f t="shared" si="269"/>
        <v>0</v>
      </c>
      <c r="AL257" s="106">
        <v>0</v>
      </c>
      <c r="AM257" s="105">
        <f t="shared" si="270"/>
        <v>12.711864406779661</v>
      </c>
      <c r="AN257" s="105">
        <v>15</v>
      </c>
      <c r="AO257" s="105">
        <f t="shared" si="271"/>
        <v>0</v>
      </c>
      <c r="AP257" s="105">
        <f t="shared" si="247"/>
        <v>865.67796610169489</v>
      </c>
      <c r="AQ257" s="105">
        <f t="shared" si="248"/>
        <v>1021.4999999999999</v>
      </c>
      <c r="AR257" s="106">
        <v>0</v>
      </c>
      <c r="AS257" s="105" t="s">
        <v>312</v>
      </c>
      <c r="AT257" s="107">
        <v>0</v>
      </c>
      <c r="AU257" s="107">
        <f t="shared" si="295"/>
        <v>5.0847457627118651</v>
      </c>
      <c r="AV257" s="107">
        <v>6</v>
      </c>
      <c r="AW257" s="107">
        <f t="shared" si="296"/>
        <v>0</v>
      </c>
      <c r="AX257" s="107">
        <f t="shared" ref="AX257:AX258" si="299">AV257*AR257</f>
        <v>0</v>
      </c>
      <c r="AY257" s="108">
        <f t="shared" si="297"/>
        <v>865.67796610169489</v>
      </c>
      <c r="AZ257" s="109">
        <f t="shared" si="298"/>
        <v>1021.4999999999999</v>
      </c>
      <c r="BA257" s="45"/>
      <c r="BB257" s="45"/>
      <c r="BC257" s="45"/>
      <c r="BD257" s="45"/>
      <c r="BE257" s="45"/>
      <c r="BF257" s="45"/>
    </row>
    <row r="258" spans="1:93" s="42" customFormat="1" ht="228.75" outlineLevel="1" x14ac:dyDescent="0.25">
      <c r="A258" s="100">
        <f t="shared" si="292"/>
        <v>215</v>
      </c>
      <c r="B258" s="101" t="s">
        <v>262</v>
      </c>
      <c r="C258" s="142" t="s">
        <v>308</v>
      </c>
      <c r="D258" s="103"/>
      <c r="E258" s="104">
        <f t="shared" si="249"/>
        <v>8</v>
      </c>
      <c r="F258" s="105">
        <v>0</v>
      </c>
      <c r="G258" s="105">
        <f t="shared" si="252"/>
        <v>16.949152542372882</v>
      </c>
      <c r="H258" s="105">
        <v>20</v>
      </c>
      <c r="I258" s="105">
        <f t="shared" si="259"/>
        <v>0</v>
      </c>
      <c r="J258" s="104">
        <v>8</v>
      </c>
      <c r="K258" s="105">
        <f t="shared" si="253"/>
        <v>12.711864406779661</v>
      </c>
      <c r="L258" s="105">
        <v>15</v>
      </c>
      <c r="M258" s="105">
        <f t="shared" si="260"/>
        <v>120</v>
      </c>
      <c r="N258" s="106">
        <v>0</v>
      </c>
      <c r="O258" s="105">
        <f t="shared" si="261"/>
        <v>6.6101694915254239</v>
      </c>
      <c r="P258" s="105">
        <v>7.8</v>
      </c>
      <c r="Q258" s="105">
        <f t="shared" si="262"/>
        <v>0</v>
      </c>
      <c r="R258" s="104">
        <v>0</v>
      </c>
      <c r="S258" s="105">
        <f t="shared" si="263"/>
        <v>13.220338983050848</v>
      </c>
      <c r="T258" s="105">
        <v>15.6</v>
      </c>
      <c r="U258" s="105">
        <f t="shared" si="264"/>
        <v>0</v>
      </c>
      <c r="V258" s="105">
        <v>0</v>
      </c>
      <c r="W258" s="105">
        <f t="shared" si="290"/>
        <v>5.9322033898305087</v>
      </c>
      <c r="X258" s="105">
        <v>7</v>
      </c>
      <c r="Y258" s="105">
        <f t="shared" si="266"/>
        <v>0</v>
      </c>
      <c r="Z258" s="104">
        <v>0</v>
      </c>
      <c r="AA258" s="105">
        <f t="shared" si="255"/>
        <v>5.5084745762711869</v>
      </c>
      <c r="AB258" s="105">
        <v>6.5</v>
      </c>
      <c r="AC258" s="105">
        <f t="shared" si="293"/>
        <v>0</v>
      </c>
      <c r="AD258" s="105">
        <v>0</v>
      </c>
      <c r="AE258" s="105">
        <f t="shared" si="256"/>
        <v>4.2372881355932206</v>
      </c>
      <c r="AF258" s="105">
        <v>5</v>
      </c>
      <c r="AG258" s="105">
        <f t="shared" si="294"/>
        <v>0</v>
      </c>
      <c r="AH258" s="106">
        <v>0</v>
      </c>
      <c r="AI258" s="105">
        <f t="shared" si="257"/>
        <v>9.3220338983050848</v>
      </c>
      <c r="AJ258" s="116">
        <v>11</v>
      </c>
      <c r="AK258" s="105">
        <f t="shared" si="269"/>
        <v>0</v>
      </c>
      <c r="AL258" s="106">
        <v>0</v>
      </c>
      <c r="AM258" s="105">
        <f t="shared" si="270"/>
        <v>12.711864406779661</v>
      </c>
      <c r="AN258" s="105">
        <v>15</v>
      </c>
      <c r="AO258" s="105">
        <f t="shared" si="271"/>
        <v>0</v>
      </c>
      <c r="AP258" s="105">
        <f t="shared" si="247"/>
        <v>101.69491525423729</v>
      </c>
      <c r="AQ258" s="105">
        <f t="shared" si="248"/>
        <v>120</v>
      </c>
      <c r="AR258" s="106">
        <v>0</v>
      </c>
      <c r="AS258" s="105" t="s">
        <v>312</v>
      </c>
      <c r="AT258" s="107">
        <v>0</v>
      </c>
      <c r="AU258" s="107">
        <f t="shared" si="295"/>
        <v>5.0847457627118651</v>
      </c>
      <c r="AV258" s="107">
        <v>6</v>
      </c>
      <c r="AW258" s="107">
        <f t="shared" si="296"/>
        <v>0</v>
      </c>
      <c r="AX258" s="107">
        <f t="shared" si="299"/>
        <v>0</v>
      </c>
      <c r="AY258" s="108">
        <f t="shared" si="297"/>
        <v>101.69491525423729</v>
      </c>
      <c r="AZ258" s="109">
        <f t="shared" si="298"/>
        <v>120</v>
      </c>
      <c r="BA258" s="45"/>
      <c r="BB258" s="45"/>
      <c r="BC258" s="45"/>
      <c r="BD258" s="45"/>
      <c r="BE258" s="45"/>
      <c r="BF258" s="45"/>
    </row>
    <row r="259" spans="1:93" ht="45" x14ac:dyDescent="0.6">
      <c r="A259" s="146" t="s">
        <v>266</v>
      </c>
      <c r="B259" s="147"/>
      <c r="C259" s="148"/>
      <c r="D259" s="143"/>
      <c r="E259" s="144">
        <f>SUM(E13:E258)</f>
        <v>150224.14999999994</v>
      </c>
      <c r="F259" s="144">
        <f t="shared" ref="F259:AZ259" si="300">SUM(F13:F258)</f>
        <v>0</v>
      </c>
      <c r="G259" s="144"/>
      <c r="H259" s="144"/>
      <c r="I259" s="144">
        <f t="shared" si="300"/>
        <v>0</v>
      </c>
      <c r="J259" s="144">
        <f t="shared" si="300"/>
        <v>38321.599999999991</v>
      </c>
      <c r="K259" s="144"/>
      <c r="L259" s="144"/>
      <c r="M259" s="144">
        <f t="shared" si="300"/>
        <v>574824</v>
      </c>
      <c r="N259" s="144">
        <f t="shared" si="300"/>
        <v>54367.420000000027</v>
      </c>
      <c r="O259" s="144"/>
      <c r="P259" s="144"/>
      <c r="Q259" s="144">
        <f t="shared" si="300"/>
        <v>424065.87599999964</v>
      </c>
      <c r="R259" s="144">
        <f t="shared" si="300"/>
        <v>2756.2599999999998</v>
      </c>
      <c r="S259" s="144"/>
      <c r="T259" s="144"/>
      <c r="U259" s="144">
        <f t="shared" si="300"/>
        <v>42997.656000000003</v>
      </c>
      <c r="V259" s="144">
        <f t="shared" si="300"/>
        <v>7794.55</v>
      </c>
      <c r="W259" s="144"/>
      <c r="X259" s="144"/>
      <c r="Y259" s="144">
        <f t="shared" si="300"/>
        <v>54561.849999999991</v>
      </c>
      <c r="Z259" s="144">
        <f t="shared" si="300"/>
        <v>40037.709999999985</v>
      </c>
      <c r="AA259" s="144"/>
      <c r="AB259" s="144"/>
      <c r="AC259" s="144">
        <f t="shared" si="300"/>
        <v>260245.11499999996</v>
      </c>
      <c r="AD259" s="144">
        <f t="shared" si="300"/>
        <v>0</v>
      </c>
      <c r="AE259" s="144"/>
      <c r="AF259" s="144"/>
      <c r="AG259" s="144">
        <f t="shared" si="300"/>
        <v>0</v>
      </c>
      <c r="AH259" s="144">
        <f t="shared" si="300"/>
        <v>4441.7</v>
      </c>
      <c r="AI259" s="144"/>
      <c r="AJ259" s="144"/>
      <c r="AK259" s="144">
        <f t="shared" si="300"/>
        <v>48858.700000000004</v>
      </c>
      <c r="AL259" s="144">
        <f t="shared" si="300"/>
        <v>2504.9100000000008</v>
      </c>
      <c r="AM259" s="144"/>
      <c r="AN259" s="144"/>
      <c r="AO259" s="144">
        <f t="shared" si="300"/>
        <v>37363.649999999994</v>
      </c>
      <c r="AP259" s="144">
        <f t="shared" si="300"/>
        <v>1222810.8872881355</v>
      </c>
      <c r="AQ259" s="144">
        <f t="shared" si="300"/>
        <v>1442916.8470000019</v>
      </c>
      <c r="AR259" s="144">
        <f t="shared" si="300"/>
        <v>95780.900000000009</v>
      </c>
      <c r="AS259" s="144"/>
      <c r="AT259" s="144">
        <f t="shared" si="300"/>
        <v>0</v>
      </c>
      <c r="AU259" s="144"/>
      <c r="AV259" s="144"/>
      <c r="AW259" s="144">
        <f t="shared" si="300"/>
        <v>487021.5254237288</v>
      </c>
      <c r="AX259" s="144">
        <f t="shared" si="300"/>
        <v>574685.4</v>
      </c>
      <c r="AY259" s="144">
        <f t="shared" si="300"/>
        <v>1709832.4127118632</v>
      </c>
      <c r="AZ259" s="144">
        <f t="shared" si="300"/>
        <v>2017602.2470000028</v>
      </c>
      <c r="BB259" s="86"/>
      <c r="BC259" s="57"/>
      <c r="BE259" s="57"/>
      <c r="BF259" s="5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</row>
    <row r="260" spans="1:93" ht="21" x14ac:dyDescent="0.35">
      <c r="J260" s="1"/>
      <c r="N260" s="1"/>
      <c r="R260" s="1"/>
      <c r="V260" s="1"/>
      <c r="Z260" s="1"/>
      <c r="AD260" s="1"/>
      <c r="AH260" s="1"/>
      <c r="AL260" s="1"/>
      <c r="AP260" s="23"/>
      <c r="AQ260" s="23"/>
      <c r="AR260" s="1"/>
      <c r="AS260" s="1"/>
      <c r="AT260" s="1"/>
      <c r="AU260" s="1"/>
      <c r="AV260" s="1"/>
      <c r="AW260" s="6"/>
      <c r="AX260" s="6"/>
      <c r="AY260" s="87"/>
      <c r="AZ260" s="88"/>
      <c r="BA260" s="83"/>
      <c r="BB260" s="57"/>
      <c r="BC260" s="57"/>
    </row>
    <row r="261" spans="1:93" ht="21" x14ac:dyDescent="0.35">
      <c r="F261" s="21"/>
      <c r="AY261" s="82"/>
      <c r="AZ261" s="81"/>
      <c r="BA261" s="84"/>
      <c r="BB261" s="85"/>
      <c r="BC261" s="57"/>
    </row>
    <row r="262" spans="1:93" ht="18.75" x14ac:dyDescent="0.3">
      <c r="F262" s="21"/>
      <c r="H262" s="3"/>
      <c r="I262" s="3"/>
      <c r="N262" s="21"/>
      <c r="AP262" s="79"/>
      <c r="AQ262" s="79"/>
      <c r="AW262" s="79"/>
      <c r="AX262" s="79"/>
      <c r="AY262" s="89"/>
      <c r="AZ262" s="81"/>
      <c r="BA262" s="80"/>
      <c r="BB262" s="57"/>
    </row>
    <row r="263" spans="1:93" ht="21" x14ac:dyDescent="0.35">
      <c r="AY263" s="92"/>
      <c r="AZ263" s="84"/>
      <c r="BA263" s="7"/>
      <c r="BB263" s="57"/>
    </row>
    <row r="264" spans="1:93" x14ac:dyDescent="0.25">
      <c r="H264" s="24"/>
      <c r="AY264" s="7"/>
      <c r="AZ264" s="80"/>
      <c r="BA264" s="7"/>
      <c r="BB264" s="57"/>
    </row>
    <row r="265" spans="1:93" ht="18.75" x14ac:dyDescent="0.3">
      <c r="AY265" s="7"/>
      <c r="AZ265" s="81"/>
      <c r="BA265" s="7"/>
      <c r="BB265" s="57"/>
    </row>
    <row r="266" spans="1:93" ht="20.25" x14ac:dyDescent="0.25">
      <c r="I266" s="154"/>
      <c r="J266" s="154"/>
      <c r="K266" s="154"/>
      <c r="L266" s="154"/>
      <c r="M266" s="154"/>
      <c r="N266" s="154"/>
      <c r="O266" s="154"/>
      <c r="P266" s="154"/>
      <c r="Q266" s="154"/>
      <c r="R266" s="154"/>
      <c r="AY266" s="7"/>
      <c r="AZ266" s="80"/>
      <c r="BA266" s="7"/>
      <c r="BB266" s="57"/>
    </row>
    <row r="267" spans="1:93" ht="20.25" x14ac:dyDescent="0.25">
      <c r="C267" s="154"/>
      <c r="D267" s="154"/>
      <c r="E267" s="18"/>
      <c r="F267" s="19"/>
      <c r="G267" s="20"/>
      <c r="H267" s="20"/>
      <c r="I267" s="154"/>
      <c r="J267" s="154"/>
      <c r="K267" s="154"/>
      <c r="L267" s="154"/>
      <c r="M267" s="154"/>
      <c r="N267" s="154"/>
      <c r="P267" s="17"/>
      <c r="Q267" s="54"/>
      <c r="R267" s="17"/>
      <c r="AY267" s="7"/>
      <c r="AZ267" s="80"/>
      <c r="BA267" s="7"/>
      <c r="BB267" s="57"/>
    </row>
    <row r="268" spans="1:93" ht="20.25" x14ac:dyDescent="0.25">
      <c r="C268" s="54"/>
      <c r="D268" s="17"/>
      <c r="E268" s="19"/>
      <c r="F268" s="18"/>
      <c r="G268" s="20"/>
      <c r="H268" s="20"/>
      <c r="I268" s="153"/>
      <c r="J268" s="153"/>
      <c r="K268" s="153"/>
      <c r="L268" s="153"/>
      <c r="M268" s="153"/>
      <c r="N268" s="153"/>
      <c r="O268" s="153"/>
      <c r="P268" s="153"/>
      <c r="Q268" s="153"/>
      <c r="R268" s="153"/>
      <c r="AY268" s="7"/>
      <c r="AZ268" s="80"/>
      <c r="BA268" s="7"/>
      <c r="BB268" s="57"/>
    </row>
    <row r="269" spans="1:93" ht="20.25" x14ac:dyDescent="0.25">
      <c r="C269" s="153"/>
      <c r="D269" s="153"/>
      <c r="E269" s="19"/>
      <c r="F269" s="19"/>
      <c r="G269" s="20"/>
      <c r="H269" s="20"/>
      <c r="I269" s="155"/>
      <c r="J269" s="155"/>
      <c r="K269" s="155"/>
      <c r="L269" s="155"/>
      <c r="M269" s="155"/>
      <c r="N269" s="155"/>
      <c r="O269" s="58"/>
      <c r="P269" s="58"/>
      <c r="Q269" s="58"/>
      <c r="R269" s="58"/>
      <c r="AY269" s="7"/>
      <c r="AZ269" s="80"/>
      <c r="BA269" s="7"/>
      <c r="BB269" s="57"/>
    </row>
    <row r="270" spans="1:93" ht="20.25" x14ac:dyDescent="0.25">
      <c r="C270" s="153"/>
      <c r="D270" s="153"/>
      <c r="E270" s="19"/>
      <c r="F270" s="19"/>
      <c r="G270" s="20"/>
      <c r="H270" s="20"/>
      <c r="I270" s="155"/>
      <c r="J270" s="155"/>
      <c r="K270" s="155"/>
      <c r="L270" s="155"/>
      <c r="M270" s="155"/>
      <c r="N270" s="155"/>
      <c r="O270" s="58"/>
      <c r="P270" s="58"/>
      <c r="Q270" s="58"/>
      <c r="R270" s="58"/>
    </row>
    <row r="271" spans="1:93" ht="20.25" x14ac:dyDescent="0.3">
      <c r="C271" s="55"/>
      <c r="E271" s="19"/>
      <c r="F271" s="19"/>
      <c r="G271" s="20"/>
      <c r="H271" s="20"/>
      <c r="M271" s="59"/>
      <c r="N271" s="59"/>
      <c r="O271" s="59"/>
      <c r="P271" s="59"/>
      <c r="Q271" s="59"/>
      <c r="R271" s="59"/>
    </row>
    <row r="272" spans="1:93" ht="20.25" x14ac:dyDescent="0.25">
      <c r="C272" s="153"/>
      <c r="D272" s="153"/>
      <c r="E272" s="19"/>
      <c r="F272" s="19"/>
      <c r="G272" s="20"/>
      <c r="H272" s="20"/>
      <c r="I272" s="59"/>
      <c r="J272" s="59"/>
      <c r="K272" s="59"/>
      <c r="L272" s="59"/>
      <c r="M272" s="59"/>
      <c r="N272" s="59"/>
      <c r="O272" s="59"/>
      <c r="P272" s="59"/>
      <c r="Q272" s="59"/>
      <c r="R272" s="59"/>
    </row>
    <row r="273" spans="3:14" ht="15.75" x14ac:dyDescent="0.25">
      <c r="C273" s="53"/>
      <c r="E273" s="2"/>
      <c r="F273" s="2"/>
      <c r="G273" s="3"/>
      <c r="I273" s="53"/>
      <c r="J273" s="1"/>
      <c r="N273" s="1"/>
    </row>
  </sheetData>
  <mergeCells count="68">
    <mergeCell ref="AW1:AX1"/>
    <mergeCell ref="A109:C109"/>
    <mergeCell ref="A118:C118"/>
    <mergeCell ref="A119:C119"/>
    <mergeCell ref="A127:C127"/>
    <mergeCell ref="A131:C131"/>
    <mergeCell ref="A70:C70"/>
    <mergeCell ref="A80:C80"/>
    <mergeCell ref="A99:C99"/>
    <mergeCell ref="A105:C105"/>
    <mergeCell ref="A106:C106"/>
    <mergeCell ref="A12:C12"/>
    <mergeCell ref="A30:C30"/>
    <mergeCell ref="A48:C48"/>
    <mergeCell ref="A60:C60"/>
    <mergeCell ref="A69:C69"/>
    <mergeCell ref="AS9:AS10"/>
    <mergeCell ref="E9:E10"/>
    <mergeCell ref="D9:D10"/>
    <mergeCell ref="A8:A10"/>
    <mergeCell ref="B8:D8"/>
    <mergeCell ref="A6:AZ7"/>
    <mergeCell ref="AT9:AT10"/>
    <mergeCell ref="AU8:AU10"/>
    <mergeCell ref="AV8:AV10"/>
    <mergeCell ref="AW8:AW10"/>
    <mergeCell ref="AX8:AX10"/>
    <mergeCell ref="F9:AO9"/>
    <mergeCell ref="AZ8:AZ10"/>
    <mergeCell ref="B9:B10"/>
    <mergeCell ref="C9:C10"/>
    <mergeCell ref="AR8:AT8"/>
    <mergeCell ref="AP8:AP10"/>
    <mergeCell ref="AQ8:AQ10"/>
    <mergeCell ref="AY8:AY10"/>
    <mergeCell ref="E8:AN8"/>
    <mergeCell ref="AR9:AR10"/>
    <mergeCell ref="C269:D269"/>
    <mergeCell ref="C272:D272"/>
    <mergeCell ref="C270:D270"/>
    <mergeCell ref="C267:D267"/>
    <mergeCell ref="I268:J268"/>
    <mergeCell ref="I269:N270"/>
    <mergeCell ref="I267:N267"/>
    <mergeCell ref="Q268:R268"/>
    <mergeCell ref="I266:J266"/>
    <mergeCell ref="K266:L266"/>
    <mergeCell ref="M266:N266"/>
    <mergeCell ref="O266:P266"/>
    <mergeCell ref="Q266:R266"/>
    <mergeCell ref="K268:L268"/>
    <mergeCell ref="M268:N268"/>
    <mergeCell ref="O268:P268"/>
    <mergeCell ref="A259:C259"/>
    <mergeCell ref="A135:C135"/>
    <mergeCell ref="A164:C164"/>
    <mergeCell ref="A165:C165"/>
    <mergeCell ref="A172:C172"/>
    <mergeCell ref="A176:C176"/>
    <mergeCell ref="A186:C186"/>
    <mergeCell ref="A211:C211"/>
    <mergeCell ref="A215:C215"/>
    <mergeCell ref="A188:C188"/>
    <mergeCell ref="A191:C191"/>
    <mergeCell ref="A198:C198"/>
    <mergeCell ref="A202:C202"/>
    <mergeCell ref="A207:C207"/>
    <mergeCell ref="A231:C231"/>
  </mergeCells>
  <phoneticPr fontId="0" type="noConversion"/>
  <printOptions horizontalCentered="1"/>
  <pageMargins left="0.19685039370078741" right="0.19685039370078741" top="0.98425196850393704" bottom="0.19685039370078741" header="0" footer="0"/>
  <pageSetup paperSize="9" scale="10" fitToHeight="0" orientation="landscape" r:id="rId1"/>
  <rowBreaks count="2" manualBreakCount="2">
    <brk id="217" max="51" man="1"/>
    <brk id="272" max="51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FBAD93C6E97184AB4134112F04B867D" ma:contentTypeVersion="0" ma:contentTypeDescription="Создание документа." ma:contentTypeScope="" ma:versionID="ed27ed35a32f4d681b4b2f3806c0396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955febea7e716b4e91cddba1711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E73C25-AB03-417C-99B7-C5BBED2AB1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0D3FB3-BA3D-49A8-9735-AD981A028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9DF12F-8BE8-4ADA-A58E-EEB459EBF785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Уборка</vt:lpstr>
      <vt:lpstr>Уборка!Заголовки_для_печати</vt:lpstr>
      <vt:lpstr>Уборка!Область_печати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Романов Андрей Владимирович</dc:creator>
  <cp:lastModifiedBy>Данилова Татьяна Владимировна</cp:lastModifiedBy>
  <cp:lastPrinted>2016-12-23T04:55:03Z</cp:lastPrinted>
  <dcterms:created xsi:type="dcterms:W3CDTF">2011-06-09T11:01:46Z</dcterms:created>
  <dcterms:modified xsi:type="dcterms:W3CDTF">2016-12-23T08:29:59Z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0x0101006FBAD93C6E97184AB4134112F04B867D</vt:lpwstr>
  </property>
  <property fmtid="{D5CDD505-2E9C-101B-9397-08002B2CF9AE}" pid="3" name="SV_QUERY_LIST_4F35BF76-6C0D-4D9B-82B2-816C12CF3733">
    <vt:lpwstr>empty_477D106A-C0D6-4607-AEBD-E2C9D60EA279</vt:lpwstr>
  </property>
</Properties>
</file>